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firstSheet="5" activeTab="9"/>
  </bookViews>
  <sheets>
    <sheet name="DOCHODY I WYDATKI " sheetId="1" r:id="rId1"/>
    <sheet name="DOCHODY" sheetId="2" r:id="rId2"/>
    <sheet name="DOCHODY WG ŹRÓDEŁ" sheetId="3" r:id="rId3"/>
    <sheet name="WYDATKI" sheetId="4" r:id="rId4"/>
    <sheet name="WYDATKI zad. wł." sheetId="5" r:id="rId5"/>
    <sheet name="WYDATKI zad. zl." sheetId="6" r:id="rId6"/>
    <sheet name="WYDATKI poroz. z adm." sheetId="7" r:id="rId7"/>
    <sheet name="DOTACJE na  poroz." sheetId="8" r:id="rId8"/>
    <sheet name="DOTACJE dla szkół niepub" sheetId="9" r:id="rId9"/>
    <sheet name="przychody i rochody" sheetId="10" r:id="rId10"/>
  </sheets>
  <definedNames>
    <definedName name="_xlnm.Print_Area" localSheetId="1">'DOCHODY'!$A$1:$M$139</definedName>
    <definedName name="_xlnm.Print_Area" localSheetId="0">'DOCHODY I WYDATKI '!$A$1:$F$30</definedName>
    <definedName name="_xlnm.Print_Area" localSheetId="3">'WYDATKI'!$A$1:$L$114</definedName>
    <definedName name="_xlnm.Print_Area" localSheetId="6">'WYDATKI poroz. z adm.'!$A$1:$I$23</definedName>
    <definedName name="_xlnm.Print_Area" localSheetId="4">'WYDATKI zad. wł.'!$A$1:$L$96</definedName>
    <definedName name="_xlnm.Print_Titles" localSheetId="1">'DOCHODY'!$11:$14</definedName>
    <definedName name="_xlnm.Print_Titles" localSheetId="3">'WYDATKI'!$9:$13</definedName>
    <definedName name="_xlnm.Print_Titles" localSheetId="4">'WYDATKI zad. wł.'!$9:$13</definedName>
    <definedName name="_xlnm.Print_Titles" localSheetId="5">'WYDATKI zad. zl.'!$10:$15</definedName>
  </definedNames>
  <calcPr fullCalcOnLoad="1"/>
</workbook>
</file>

<file path=xl/comments2.xml><?xml version="1.0" encoding="utf-8"?>
<comments xmlns="http://schemas.openxmlformats.org/spreadsheetml/2006/main">
  <authors>
    <author>mjanil</author>
    <author>acer</author>
  </authors>
  <commentList>
    <comment ref="G59" authorId="0">
      <text>
        <r>
          <rPr>
            <b/>
            <sz val="8"/>
            <rFont val="Tahoma"/>
            <family val="2"/>
          </rPr>
          <t>mjanil:</t>
        </r>
        <r>
          <rPr>
            <sz val="8"/>
            <rFont val="Tahoma"/>
            <family val="2"/>
          </rPr>
          <t xml:space="preserve">
ustalone na poziomie planu na rok 2010 + ustalenia z Zarządu 15.11.2010</t>
        </r>
      </text>
    </comment>
    <comment ref="G20" authorId="1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ustalone na poziomie budżetu 2010</t>
        </r>
      </text>
    </comment>
    <comment ref="G106" authorId="1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ustalone na poziomie budżetu 2010
</t>
        </r>
      </text>
    </comment>
    <comment ref="G110" authorId="1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ustalone na poziomie budeżet 2010
</t>
        </r>
      </text>
    </comment>
    <comment ref="G55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ustalenia Zarządu z 15.11.2010
</t>
        </r>
      </text>
    </comment>
    <comment ref="G56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ustalenia Zarządu z 15.11.2010</t>
        </r>
      </text>
    </comment>
    <comment ref="G96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ustalenia Zarządu z 15.11.2010</t>
        </r>
      </text>
    </comment>
    <comment ref="K26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ustalenia Zarządu z 15.11.2010;
ustalenia Skarbnika 15.11.2010</t>
        </r>
      </text>
    </comment>
  </commentList>
</comments>
</file>

<file path=xl/comments4.xml><?xml version="1.0" encoding="utf-8"?>
<comments xmlns="http://schemas.openxmlformats.org/spreadsheetml/2006/main">
  <authors>
    <author>acer</author>
    <author>mjanil</author>
  </authors>
  <commentList>
    <comment ref="G3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ustalone na poziomie 2010</t>
        </r>
      </text>
    </comment>
    <comment ref="G1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na poziomie 2010 r.
</t>
        </r>
      </text>
    </comment>
    <comment ref="H92" authorId="0">
      <text>
        <r>
          <rPr>
            <b/>
            <sz val="9"/>
            <rFont val="Tahoma"/>
            <family val="0"/>
          </rPr>
          <t>acer:</t>
        </r>
        <r>
          <rPr>
            <sz val="9"/>
            <rFont val="Tahoma"/>
            <family val="0"/>
          </rPr>
          <t xml:space="preserve">
ustalone na poziomie 2010
</t>
        </r>
      </text>
    </comment>
    <comment ref="G77" authorId="0">
      <text>
        <r>
          <rPr>
            <b/>
            <sz val="9"/>
            <rFont val="Tahoma"/>
            <family val="0"/>
          </rPr>
          <t>acer:</t>
        </r>
        <r>
          <rPr>
            <sz val="9"/>
            <rFont val="Tahoma"/>
            <family val="0"/>
          </rPr>
          <t xml:space="preserve">
ustalone na poziomie 2010</t>
        </r>
      </text>
    </comment>
    <comment ref="F5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
</t>
        </r>
      </text>
    </comment>
    <comment ref="G5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
</t>
        </r>
      </text>
    </comment>
    <comment ref="L5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F6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6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L6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F10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10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L10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51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F5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5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F6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6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
</t>
        </r>
      </text>
    </comment>
    <comment ref="F101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101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L101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
</t>
        </r>
      </text>
    </comment>
    <comment ref="F10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10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  <comment ref="G20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
decyzja Skarbnika 15.11.2010</t>
        </r>
      </text>
    </comment>
    <comment ref="L20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
decyzja Skarbnika 15.11.2010</t>
        </r>
      </text>
    </comment>
    <comment ref="G26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3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F3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38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F80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L80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L83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
decyzja Skarbnika 15.11.2010</t>
        </r>
      </text>
    </comment>
    <comment ref="G8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F87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L87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F89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89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F93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93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94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106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L106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L109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112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Zarządu 12.11.2010</t>
        </r>
      </text>
    </comment>
    <comment ref="G3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Skarbnika 15.11.2010</t>
        </r>
      </text>
    </comment>
    <comment ref="L35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Skarbnika 15.11.2010</t>
        </r>
      </text>
    </comment>
    <comment ref="G83" authorId="1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decyzja Skarbnika 15.11.2010</t>
        </r>
      </text>
    </comment>
    <comment ref="I92" authorId="0">
      <text>
        <r>
          <rPr>
            <b/>
            <sz val="9"/>
            <rFont val="Tahoma"/>
            <family val="0"/>
          </rPr>
          <t>acer:</t>
        </r>
        <r>
          <rPr>
            <sz val="9"/>
            <rFont val="Tahoma"/>
            <family val="0"/>
          </rPr>
          <t xml:space="preserve">
ustalone na poziomie 2010
</t>
        </r>
      </text>
    </comment>
  </commentList>
</comments>
</file>

<file path=xl/comments5.xml><?xml version="1.0" encoding="utf-8"?>
<comments xmlns="http://schemas.openxmlformats.org/spreadsheetml/2006/main">
  <authors>
    <author>mjanil</author>
  </authors>
  <commentList>
    <comment ref="G42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zmienione przed d. Jakiełę</t>
        </r>
      </text>
    </comment>
  </commentList>
</comments>
</file>

<file path=xl/sharedStrings.xml><?xml version="1.0" encoding="utf-8"?>
<sst xmlns="http://schemas.openxmlformats.org/spreadsheetml/2006/main" count="651" uniqueCount="325">
  <si>
    <t>DZIAŁ</t>
  </si>
  <si>
    <t>WYSZCZEGÓLNIENIE</t>
  </si>
  <si>
    <t>DOCHODY</t>
  </si>
  <si>
    <t>WYDATKI</t>
  </si>
  <si>
    <t>Ogółem</t>
  </si>
  <si>
    <t>ROLNICTWO I ŁOWIECTWO</t>
  </si>
  <si>
    <t>LEŚNICTWO</t>
  </si>
  <si>
    <t>TRANSPORT I ŁĄCZNOŚĆ</t>
  </si>
  <si>
    <t>GOSPODARKA MIESZKANIOWA</t>
  </si>
  <si>
    <t>DZIAŁALNOŚĆ USŁUGOWA</t>
  </si>
  <si>
    <t>BEZPIECZEŃSTWO PUBLICZNE I OCHRONA PRZECIWPOŻAROWA</t>
  </si>
  <si>
    <t>OBSŁUGA DŁUGU PUBLICZNEGO</t>
  </si>
  <si>
    <t>RÓŻNE ROZLICZENIA</t>
  </si>
  <si>
    <t>OCHRONA ZDROWIA</t>
  </si>
  <si>
    <t>EDUKACYJNA OPIEKA WYCHOWAWCZA</t>
  </si>
  <si>
    <t>OGÓŁEM</t>
  </si>
  <si>
    <t>w tym zadania zlecone</t>
  </si>
  <si>
    <t>POMOC  SPOŁECZNA</t>
  </si>
  <si>
    <t>POZOSTAŁE ZADANIA W ZAKRESIE POLITYKI SPOŁECZNEJ</t>
  </si>
  <si>
    <t>TURYSTYKA</t>
  </si>
  <si>
    <t>Załącznik Nr 1</t>
  </si>
  <si>
    <t>Rady Powiatu Pyrzyckiego</t>
  </si>
  <si>
    <t>010</t>
  </si>
  <si>
    <t>020</t>
  </si>
  <si>
    <t>DOCHODY OD OSÓB PRAWNYCH, OD OSÓB FIZYCZNYCH I OD INNYCH JEDNOSTEK NIEPOSIADAJĄCYCH OSOBOWOŚCI PRAWNEJ ORAZ WYDATKI ZWIĄZANE Z ICH POBOREM</t>
  </si>
  <si>
    <t>KULTURA I OCHRONA DZIEDZICTWA NARODOWEGO</t>
  </si>
  <si>
    <t xml:space="preserve">ADMINISTRACJA PUBLICZNA </t>
  </si>
  <si>
    <t>Załącznik Nr 2</t>
  </si>
  <si>
    <t>PROGNOZOWANE DOCHODY BUDŻETU  POWIATU PYRZYCKIEGO</t>
  </si>
  <si>
    <t>(OGÓŁEM)</t>
  </si>
  <si>
    <t>według działów, rozdziałów klasyfikacji i ważniejszych źródeł</t>
  </si>
  <si>
    <t>w złotych</t>
  </si>
  <si>
    <t>Dział</t>
  </si>
  <si>
    <t>Rozdział</t>
  </si>
  <si>
    <t>§</t>
  </si>
  <si>
    <t>NAZWA PODZIAŁKI KLASYFIKACJI BUDŻETOWEJ</t>
  </si>
  <si>
    <t>z tego:</t>
  </si>
  <si>
    <t>Dochody bieżące</t>
  </si>
  <si>
    <t>w tym:</t>
  </si>
  <si>
    <t>Dochody majątkowe</t>
  </si>
  <si>
    <t>Dochody związane z realizacją zadań własnych</t>
  </si>
  <si>
    <t>Dochody związane z ralizacją zadań z zakresu administracji rządowej oraz innych zadań zleconych ustawami</t>
  </si>
  <si>
    <t>Dochody związane z realizacją zadań z zakresu administracji rządowej na podstawie porozumień z organami tej administracji</t>
  </si>
  <si>
    <t>O10</t>
  </si>
  <si>
    <t>O1005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</si>
  <si>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</si>
  <si>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</si>
  <si>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</si>
  <si>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</si>
  <si>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Gospodarka gruntami i nieruchomościami</t>
  </si>
  <si>
    <t>O870</t>
  </si>
  <si>
    <t xml:space="preserve">Wpływy ze sprzedaży składników majątkowych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</si>
  <si>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</si>
  <si>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</si>
  <si>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</si>
  <si>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</si>
  <si>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</si>
  <si>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</si>
  <si>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</si>
  <si>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</si>
  <si>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</si>
  <si>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</si>
  <si>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</si>
  <si>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</si>
  <si>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</si>
  <si>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</si>
  <si>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O830</t>
  </si>
  <si>
    <t>Wpływy z usług</t>
  </si>
  <si>
    <t>0920</t>
  </si>
  <si>
    <t>Pozostałe odsetki</t>
  </si>
  <si>
    <t>Dotacje celowe otrzymane z budżetu państwa na zadania bieżące realizowane przez powiat na podstawie porozumień z organami administracji rządowej</t>
  </si>
  <si>
    <t>Komendy powiatowe Państwowej Straży Pożarnej</t>
  </si>
  <si>
    <t>O920</t>
  </si>
  <si>
    <t>Wpływy z innych opłat stanowiących dochody jednostek samorządu terytorialnego na podstawie ustaw</t>
  </si>
  <si>
    <t>O490</t>
  </si>
  <si>
    <t>Wpływy z innych lokalnych opłat pobieranych przez jednostki samorządu terytorialnego na podstawie odrębnych ustaw</t>
  </si>
  <si>
    <t>Udziały powiatu w podatkach stanowiących dochód budżetu państwa</t>
  </si>
  <si>
    <t>OO10</t>
  </si>
  <si>
    <t>Podatek dochodowy od osób fizycznych</t>
  </si>
  <si>
    <t>OO20</t>
  </si>
  <si>
    <t>Podatek dochodowy od osób prawnych</t>
  </si>
  <si>
    <t>Subwencje ogólne z budżetu państwa</t>
  </si>
  <si>
    <t>OŚWIATA I WYCHOWANIE</t>
  </si>
  <si>
    <t>Szkoły podstawowe specjalne</t>
  </si>
  <si>
    <t>Gimnazja specjalne</t>
  </si>
  <si>
    <t>Licea ogólnokształcące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</si>
  <si>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</si>
  <si>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</si>
  <si>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 xml:space="preserve">Wpływy z usług </t>
  </si>
  <si>
    <t>O970</t>
  </si>
  <si>
    <t xml:space="preserve">Wpływy z różnych  dochodów </t>
  </si>
  <si>
    <t>Szkoły zawodowe specjalne</t>
  </si>
  <si>
    <t>Składki na ubezpieczenie zdrowotne oraz świadczenia dla osób nieobjętych obowiązkiem ubezpieczenia zdrowotnego</t>
  </si>
  <si>
    <t>Dotacje celowe otrzymane z budżetu państwa na zadania bieżące z zakresu administracji rządowej oraz inne zadania zlecone ustawami realizowane przez powiat, w tym:</t>
  </si>
  <si>
    <t>bezrobotni bez prawa do zasiłku</t>
  </si>
  <si>
    <t>dzieci z placówek opiekuńczo-wychowawczych</t>
  </si>
  <si>
    <t>POMOC SPOŁECZNA</t>
  </si>
  <si>
    <t>Placówki opiekuńczo – wychowawcze</t>
  </si>
  <si>
    <t>Wpływy z różnych dochodów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</si>
  <si>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</si>
  <si>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</si>
  <si>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</si>
  <si>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</si>
  <si>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</si>
  <si>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</si>
  <si>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</si>
  <si>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finsnowanie kosztów wynagrodzenia i składek na ubezpieczenia społeczne pracowników powiatowego urzędu pracy</t>
  </si>
  <si>
    <t>Specjalne ośrodki szkolno – wychowawcze</t>
  </si>
  <si>
    <t>Internaty i bursy szkolne</t>
  </si>
  <si>
    <t>Załącznik Nr 3</t>
  </si>
  <si>
    <t>według głównych źródeł</t>
  </si>
  <si>
    <t>ŹRÓDŁA DOCHODÓW</t>
  </si>
  <si>
    <t>I</t>
  </si>
  <si>
    <t>DOTACJE CELOWE Z BUDŻETU PAŃSTWA</t>
  </si>
  <si>
    <t>II</t>
  </si>
  <si>
    <t xml:space="preserve">SUBWENCJA OGÓLNA </t>
  </si>
  <si>
    <t>Część oświatowa subwencji ogólnej</t>
  </si>
  <si>
    <t>Część wyrównawcza subwencji ogólnej</t>
  </si>
  <si>
    <t>Część równoważąca subwencji ogólnej</t>
  </si>
  <si>
    <t>III</t>
  </si>
  <si>
    <t>ŚRODKI POZYSKANE Z INNYCH ŹRÓDEŁ</t>
  </si>
  <si>
    <t>Środki z Funduszu Pracy otrzymane przez powiat z przeznaczeniem na finansowanie kosztów wynagrodzenia i składek na ubezpieczenie społeczne pracowników powiatowego urzędu pracy</t>
  </si>
  <si>
    <t>IV</t>
  </si>
  <si>
    <t>DOCHODY WŁASNE</t>
  </si>
  <si>
    <t>Pozostałe dochody</t>
  </si>
  <si>
    <t>Załącznik Nr 4</t>
  </si>
  <si>
    <t xml:space="preserve">WYDATKI BUDŻETU POWIATU PYRZYCKIEGO </t>
  </si>
  <si>
    <t>ROZDZIAŁ</t>
  </si>
  <si>
    <t>PLAN WYDATKÓW OGÓŁEM</t>
  </si>
  <si>
    <t>z tego :</t>
  </si>
  <si>
    <t>WYDATKI MAJĄTKOWE</t>
  </si>
  <si>
    <t>Dotacje</t>
  </si>
  <si>
    <t>Wydatki na obsługę długu</t>
  </si>
  <si>
    <t>01005</t>
  </si>
  <si>
    <t>Prace geodezyjno – urządzeniowe na potrzeby rolnictwa</t>
  </si>
  <si>
    <t>O20</t>
  </si>
  <si>
    <t>02001</t>
  </si>
  <si>
    <t>Gospodarka leśna</t>
  </si>
  <si>
    <t xml:space="preserve">Drogi publiczne powiatowe </t>
  </si>
  <si>
    <t>Turystyka</t>
  </si>
  <si>
    <t>Pozostała działalność</t>
  </si>
  <si>
    <t>Ośrodki dokumentacji geodezyjnej i kartograficznej</t>
  </si>
  <si>
    <t xml:space="preserve">Nadzór budowlany </t>
  </si>
  <si>
    <t>pracownicy rządowi - wynagr..+pochodne</t>
  </si>
  <si>
    <t>Rady powiatów</t>
  </si>
  <si>
    <t>Promocja jednostek samorządu terytorialnego</t>
  </si>
  <si>
    <t>Starostwo</t>
  </si>
  <si>
    <t xml:space="preserve">Komendy powiatowe Państwowej Straży Pożarnej </t>
  </si>
  <si>
    <t xml:space="preserve">Rezerwy ogólne i celowe </t>
  </si>
  <si>
    <t>- rezerwy celowe, w tym:</t>
  </si>
  <si>
    <t>- rezerwa na zarządzanie kryzysowe (Dz.U. z 2007 Nr 89 poz.590 art.18)</t>
  </si>
  <si>
    <t>Zespół Szkół Nr 1</t>
  </si>
  <si>
    <t>Pryw.LO OMNIBUS</t>
  </si>
  <si>
    <t xml:space="preserve">Pryw.LO Uzupeł.OMNIBUS </t>
  </si>
  <si>
    <t>Zespół Szkół Nr 2 RCKU</t>
  </si>
  <si>
    <t xml:space="preserve">Pryw.Polic.Stud.Zaw.OMNIBUS </t>
  </si>
  <si>
    <t>Specj.Ośr.Szkol.-Wychow.</t>
  </si>
  <si>
    <t>Inne formy kształcenia osobno nie wymienione</t>
  </si>
  <si>
    <t>Ośrodek Edukacyjno - Rehabilitacyjno - Wychowawczy w Nowielinie</t>
  </si>
  <si>
    <t>Dokształcanie i doskonalenie nauczycieli</t>
  </si>
  <si>
    <t>Pow.Urząd Pracy</t>
  </si>
  <si>
    <t>Dom Dziecka</t>
  </si>
  <si>
    <t>Ośr.Szkol.Wychowawczy</t>
  </si>
  <si>
    <t>Starostwo Powiatowe</t>
  </si>
  <si>
    <t xml:space="preserve">Placówki opiekuńczo – wychowawcze </t>
  </si>
  <si>
    <t>Pow.Centr.Pomocy Rodz.</t>
  </si>
  <si>
    <t>Starostwo - porozumienia</t>
  </si>
  <si>
    <t>Rodziny zastępcze</t>
  </si>
  <si>
    <t>Powiatowe centra pomocy rodzinie</t>
  </si>
  <si>
    <t>Rehabilitacja zawodowa i społeczna osób niepełnosprawnych</t>
  </si>
  <si>
    <t>Powiatowe urzędy pracy</t>
  </si>
  <si>
    <t>Specjalne ośrodki szkolno - wychowawcze</t>
  </si>
  <si>
    <t>Poradnie psychologiczno – pedagogiczne, w tym poradnie specjalistyczne</t>
  </si>
  <si>
    <t xml:space="preserve">Placówki wychowania pozaszkolnego </t>
  </si>
  <si>
    <t>Biblioteki</t>
  </si>
  <si>
    <t>RAZEM</t>
  </si>
  <si>
    <t>Załącznik Nr 5</t>
  </si>
  <si>
    <t>z  tego:</t>
  </si>
  <si>
    <t>Wydatki majątkowe</t>
  </si>
  <si>
    <t>Wynagrodzenia i pochodne od wynagrodzeń</t>
  </si>
  <si>
    <t>O2001</t>
  </si>
  <si>
    <t>- rezerwy ogólne</t>
  </si>
  <si>
    <t>Zespół Szkół Nr 1 w Pyrzycach</t>
  </si>
  <si>
    <t xml:space="preserve">Pryw.L.Ogólnok.Uzupeł."OMNIBUS" </t>
  </si>
  <si>
    <t>Zespół Szkół Nr 2 - RCKU</t>
  </si>
  <si>
    <t>Pryw.Polic.Studium Zawodowe przy C.E."OMNIBUS"- Starostwo Powiatowe w Pyrzycach</t>
  </si>
  <si>
    <t>Specj.Ośr.Szkol.-Wych.</t>
  </si>
  <si>
    <t>Inne formy kształcenia osobno niewymienione</t>
  </si>
  <si>
    <t>Ośr.Edukacyjno-Rehabilitacyjno-Wychowawczy w Nowielinie</t>
  </si>
  <si>
    <t>Placówki opiekuńczo - wychowawcze</t>
  </si>
  <si>
    <t>Dom Dziecka w Czernicach</t>
  </si>
  <si>
    <t>Pow.Centr.Pomocy Rodzinie</t>
  </si>
  <si>
    <t>Dom pomocy społecznej</t>
  </si>
  <si>
    <t>Specjalne ośrodki szkolno-wychowawcze</t>
  </si>
  <si>
    <t>Poradnie psychologiczno-pedagogiczne, w tym poradnie specjalistyczne</t>
  </si>
  <si>
    <t>Placówki wychowania pozaszkolnego</t>
  </si>
  <si>
    <t>Załącznik Nr 6</t>
  </si>
  <si>
    <t xml:space="preserve">związane z realizacją zadań z zakresu administracji rządowej </t>
  </si>
  <si>
    <t>1</t>
  </si>
  <si>
    <t>2</t>
  </si>
  <si>
    <t>3</t>
  </si>
  <si>
    <t>4</t>
  </si>
  <si>
    <t>5</t>
  </si>
  <si>
    <t>6</t>
  </si>
  <si>
    <t>7</t>
  </si>
  <si>
    <t>8</t>
  </si>
  <si>
    <t xml:space="preserve">DZIAŁALNOŚĆ USŁUGOWA </t>
  </si>
  <si>
    <t>Składki na ubezpieczenia zdrowotne oraz świadczenia dla osób nieobjętych obowiązkiem ubezpieczenia zdrowotnego</t>
  </si>
  <si>
    <t>POZOSTALE ZADANIA W ZAKRESIE POLITYKI SPOŁECZNEJ</t>
  </si>
  <si>
    <t>Załącznik Nr 7</t>
  </si>
  <si>
    <t>WYDATKI BUDŻETU POWIATU PYRZYCKIEGO</t>
  </si>
  <si>
    <t>związane z realizacją zadań z zakresu administracji rządowej</t>
  </si>
  <si>
    <t>Załącznik Nr 8</t>
  </si>
  <si>
    <t xml:space="preserve">Dział </t>
  </si>
  <si>
    <t xml:space="preserve">Rozdział </t>
  </si>
  <si>
    <t>wydatki bieżące</t>
  </si>
  <si>
    <t>Plan                     wydatków ogółem</t>
  </si>
  <si>
    <t>w tym :</t>
  </si>
  <si>
    <t>Wydatki z tutułu poręczeń i gwarancji</t>
  </si>
  <si>
    <t>Drogi publiczne powiatowe</t>
  </si>
  <si>
    <t>852</t>
  </si>
  <si>
    <t>85201</t>
  </si>
  <si>
    <t>Placówki opiekuńczo wychowawcze</t>
  </si>
  <si>
    <t>Kwota</t>
  </si>
  <si>
    <t>dla szkół niepublicznych o uprawnieniach szkół publicznych</t>
  </si>
  <si>
    <t>Kwota dotacji w zł</t>
  </si>
  <si>
    <t>OŚWIATA  I  WYCHOWANIE</t>
  </si>
  <si>
    <t>- Prywatne Liceum Ogólnokształcące przy C.E. „OMNIBUS” Pyrzyce</t>
  </si>
  <si>
    <t>Dotacja podmiotowa z budżetu dla niepublicznej jednostki systemu oświaty</t>
  </si>
  <si>
    <t>- Prywatne Liceum Ogólnokształcące Uzupełniające przy C.E. „OMNIBUS” , Pyrzyce</t>
  </si>
  <si>
    <t>- Prywatne Policealne Studium Zawodowe przy C.E. „OMNIBUS”, Pyrzyce</t>
  </si>
  <si>
    <t>- Ośrodek Edukacyjno – Rehabilitacyjno - Wychowawczy w Nowielinie</t>
  </si>
  <si>
    <t xml:space="preserve">PRZYCHODY I ROZCHODY </t>
  </si>
  <si>
    <t xml:space="preserve"> BUDŻETU POWIATU PYRZYCKIEGO</t>
  </si>
  <si>
    <t>Lp.</t>
  </si>
  <si>
    <t>Treść</t>
  </si>
  <si>
    <t>Klasyfikacja            wg §</t>
  </si>
  <si>
    <t>Przychody ogółem</t>
  </si>
  <si>
    <t>x</t>
  </si>
  <si>
    <t>Rozchody ogółem</t>
  </si>
  <si>
    <t>Różnica przychodów nad rozchodami</t>
  </si>
  <si>
    <t xml:space="preserve">- rezerwy ogólne </t>
  </si>
  <si>
    <t xml:space="preserve">DOCHODY I WYDATKI BUDŻETU POWIATU </t>
  </si>
  <si>
    <t xml:space="preserve">na finansowanie zadań własnych przekazanych na podstawie </t>
  </si>
  <si>
    <t>porozumień do realizacji innym jednostkom samorządu terytorialnego</t>
  </si>
  <si>
    <t>0960</t>
  </si>
  <si>
    <t>- Prywatne Liceum Ogólnokształcące w Kozielicach</t>
  </si>
  <si>
    <t xml:space="preserve">OŚWIATA I WYCHOWANIE </t>
  </si>
  <si>
    <t>Obsługa papierów wartościowych, kredytów i pożyczek jednostek samorządu terytorialnego</t>
  </si>
  <si>
    <t>Wykup papierów wartościowych (obligacji)</t>
  </si>
  <si>
    <t>* Gmina Pyrzyce</t>
  </si>
  <si>
    <r>
      <t xml:space="preserve">Część </t>
    </r>
    <r>
      <rPr>
        <b/>
        <sz val="10"/>
        <rFont val="Comic Sans MS"/>
        <family val="4"/>
      </rPr>
      <t xml:space="preserve">oświatowa </t>
    </r>
    <r>
      <rPr>
        <sz val="10"/>
        <rFont val="Comic Sans MS"/>
        <family val="4"/>
      </rPr>
      <t>subwencji ogólnej dla jednostek samorządu terytorialnego</t>
    </r>
  </si>
  <si>
    <r>
      <t xml:space="preserve">Część </t>
    </r>
    <r>
      <rPr>
        <b/>
        <sz val="10"/>
        <rFont val="Comic Sans MS"/>
        <family val="4"/>
      </rPr>
      <t>wyrównawcza</t>
    </r>
    <r>
      <rPr>
        <sz val="10"/>
        <rFont val="Comic Sans MS"/>
        <family val="4"/>
      </rPr>
      <t xml:space="preserve"> subwencji ogólnej dla powiatów </t>
    </r>
  </si>
  <si>
    <r>
      <t xml:space="preserve">Część </t>
    </r>
    <r>
      <rPr>
        <b/>
        <sz val="10"/>
        <rFont val="Comic Sans MS"/>
        <family val="4"/>
      </rPr>
      <t>równoważąca</t>
    </r>
    <r>
      <rPr>
        <sz val="10"/>
        <rFont val="Comic Sans MS"/>
        <family val="4"/>
      </rPr>
      <t xml:space="preserve"> subwencji ogólnej dla powiatów </t>
    </r>
  </si>
  <si>
    <r>
      <t>Wpływy z usług</t>
    </r>
    <r>
      <rPr>
        <b/>
        <sz val="10"/>
        <rFont val="Comic Sans MS"/>
        <family val="4"/>
      </rPr>
      <t xml:space="preserve"> </t>
    </r>
  </si>
  <si>
    <r>
      <t>Dotacje celowe otrzymane z budżetu państwa na zadania z zakresu administracji rządowej oraz inne zadania zlecone ustawami realizowane przez powiat</t>
    </r>
    <r>
      <rPr>
        <b/>
        <sz val="10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2110, § 6410</t>
    </r>
  </si>
  <si>
    <r>
      <t xml:space="preserve">Dotacje celowe otrzymane z budżetu państwa na realizację bieżących zadań własnych powiatu </t>
    </r>
    <r>
      <rPr>
        <b/>
        <sz val="10"/>
        <color indexed="9"/>
        <rFont val="Comic Sans MS"/>
        <family val="4"/>
      </rPr>
      <t>§ 2130</t>
    </r>
  </si>
  <si>
    <r>
      <t xml:space="preserve">Dotacje celowe otrzymane z budżetu państwa na zadania bieżące realizowane przez powiat na podstawie porozumień z organami administracji rządowej </t>
    </r>
    <r>
      <rPr>
        <b/>
        <sz val="10"/>
        <color indexed="9"/>
        <rFont val="Comic Sans MS"/>
        <family val="4"/>
      </rPr>
      <t>§ 2120</t>
    </r>
  </si>
  <si>
    <r>
      <t xml:space="preserve">Dotacje celowe otrzymane z budżetu państwa na realizację inwestycji i zakupów inwestycyjnych własnych powiatu </t>
    </r>
    <r>
      <rPr>
        <b/>
        <sz val="10"/>
        <color indexed="9"/>
        <rFont val="Comic Sans MS"/>
        <family val="4"/>
      </rPr>
      <t>§ 6430</t>
    </r>
  </si>
  <si>
    <r>
      <t xml:space="preserve">Środki otrzymane od pozostałych jednostek zaliczanych do sektora finansów publicznych na realizację zadań bieżących jednostek zaliczanych do sektora finansów publicznych </t>
    </r>
    <r>
      <rPr>
        <b/>
        <sz val="10"/>
        <color indexed="9"/>
        <rFont val="Comic Sans MS"/>
        <family val="4"/>
      </rPr>
      <t>§ 2460</t>
    </r>
  </si>
  <si>
    <r>
      <t xml:space="preserve">Udziały powiatów w podatkach stanowiących dochód budżetu państwa – udział w podatku dochodowym od osób fizycznych </t>
    </r>
    <r>
      <rPr>
        <b/>
        <sz val="10"/>
        <color indexed="9"/>
        <rFont val="Comic Sans MS"/>
        <family val="4"/>
      </rPr>
      <t>§ 0010</t>
    </r>
  </si>
  <si>
    <r>
      <t>Udziały powiatów w podatkach stanowiących dochód budżetu państwa – udział w podatku dochodowym od osób prawnych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0020</t>
    </r>
  </si>
  <si>
    <r>
      <t xml:space="preserve">Dotacje celowe otrzymane z powiatu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2320</t>
    </r>
  </si>
  <si>
    <r>
      <t xml:space="preserve">Wpływy z opłat komunikacyjnych </t>
    </r>
    <r>
      <rPr>
        <b/>
        <sz val="10"/>
        <color indexed="9"/>
        <rFont val="Comic Sans MS"/>
        <family val="4"/>
      </rPr>
      <t>§ 0420</t>
    </r>
  </si>
  <si>
    <r>
      <t>Opłaty za pobyt w Domu Pomocy Społecznej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85202 § 0830</t>
    </r>
  </si>
  <si>
    <t>KWOTA           W  ZŁ</t>
  </si>
  <si>
    <t>UDZIAŁ          W %</t>
  </si>
  <si>
    <t>Pryw.L.Ogólnok."OMNIBUS" - Starostwo Powiatowe w Pyrzycach</t>
  </si>
  <si>
    <t>Załącznik Nr 10</t>
  </si>
  <si>
    <t>0580</t>
  </si>
  <si>
    <t>Grzywny i inne kary pieniężne od osób prawnych i innych jednostek organizacyjnych</t>
  </si>
  <si>
    <t>Jednostki specjalistycznego poradnictwa, mieszkania chronione i ośrodki interwencji kryzysowej</t>
  </si>
  <si>
    <t>Wpływy z roznych opłat</t>
  </si>
  <si>
    <t>01095</t>
  </si>
  <si>
    <t>Pozostała dziłalność</t>
  </si>
  <si>
    <t>Zadania w zakresie przeciwdziałania przemocy w rodzinie</t>
  </si>
  <si>
    <t>Kwalifikacja wojskowa</t>
  </si>
  <si>
    <t>lp.</t>
  </si>
  <si>
    <t>- Prywatne Liceum Ogólnokształcące Uzupełniajace w Kozielicach</t>
  </si>
  <si>
    <t>Prywatne uzupełniające LO w Kozielicach</t>
  </si>
  <si>
    <t>Prywatne LO w Kozielicach</t>
  </si>
  <si>
    <t>deficyt</t>
  </si>
  <si>
    <t>Dotacje celowe otrzymane z gminy na zadania bieżące realizowane na podstawie na podstawie porozumień (umów) między jednostkami samorządu terytorialnego</t>
  </si>
  <si>
    <r>
      <t xml:space="preserve">Dotacje celowe otrzymane z gminy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2310</t>
    </r>
  </si>
  <si>
    <t>(OGÓŁEM) W 2011 r.</t>
  </si>
  <si>
    <t xml:space="preserve">NA 2011 r. </t>
  </si>
  <si>
    <t>PROGNOZOWANE DOCHODY BUDŻETU POWIATU PYRZYCKIEGO W 2011 r.</t>
  </si>
  <si>
    <t>w 2011 r.</t>
  </si>
  <si>
    <t>związane z realizacją zadań własnych w 2011 r.</t>
  </si>
  <si>
    <t>oraz innych zadań zleconych ustawami w 2011 r.</t>
  </si>
  <si>
    <t>na podstawie porozumień z organami tej administracji w 2011 r.</t>
  </si>
  <si>
    <t>DOTACJE Z  BUDŻETU POWIATU PYRZYCKIEGO W ROKU 2011</t>
  </si>
  <si>
    <t>DOTACJE Z BUDŻETU POWIATU PYRZYCKIEGO W ROKU 2011</t>
  </si>
  <si>
    <t xml:space="preserve">  w  2011 r.</t>
  </si>
  <si>
    <t>Otrzymane spadki, zapisy i darowizny w postaci pieniężnej</t>
  </si>
  <si>
    <t>Liceum dla dorosłych przy ZS 1</t>
  </si>
  <si>
    <t>Liceum dla dorosłych przy ZS nr 1</t>
  </si>
  <si>
    <t>Warsztaty szkolne</t>
  </si>
  <si>
    <t>Gospodarka komunalna i ochrona środowiska</t>
  </si>
  <si>
    <t>Wpływy i wydatki związane z gormadzeniem środków z opłat i kar za korzystanie ze środowiska</t>
  </si>
  <si>
    <t>GOSPODARKA KOMUNALNA I OCHRONA ŚRODOWISKA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</si>
  <si>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</si>
  <si>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</si>
  <si>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2009</t>
  </si>
  <si>
    <t>Lokalny punkt informacyjny</t>
  </si>
  <si>
    <t>Lokalny Punkt Informacyjny</t>
  </si>
  <si>
    <t>Zespoły do spraw o orzekania o niepełnosprawności</t>
  </si>
  <si>
    <t>Wydatki na programy finansowane z udziałem środków pochodzących z budżetu UE</t>
  </si>
  <si>
    <t>Wiem, rozumiem, potrafię</t>
  </si>
  <si>
    <t>Prawo jazdy - moja przyszłość</t>
  </si>
  <si>
    <t>Nauka i praktyka wzbogaca, rozwija i odkrywa</t>
  </si>
  <si>
    <t>0830</t>
  </si>
  <si>
    <t>KULTURA FIZYCZNA</t>
  </si>
  <si>
    <t xml:space="preserve">KULTURA FIZYCZNA </t>
  </si>
  <si>
    <t>Ochrona zabytków i opieka nad zabytkami</t>
  </si>
  <si>
    <t>Spłaty pożyczek (kredytów)</t>
  </si>
  <si>
    <t>Papiery wartościowe (obligacje)</t>
  </si>
  <si>
    <t>Świadczenia na rzecz osób fizycznych</t>
  </si>
  <si>
    <t>wydatki jednostek budżetowych</t>
  </si>
  <si>
    <t>Wydatki związane z realizacją zadań statutowych</t>
  </si>
  <si>
    <t>WYDATKI BIEŻĄCE w tym:</t>
  </si>
  <si>
    <t>9</t>
  </si>
  <si>
    <t>Załącznik Nr 9</t>
  </si>
  <si>
    <t>do uchwały Nr V/17/11</t>
  </si>
  <si>
    <t>z dnia 23 lutego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</si>
</sst>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 CE"/>
      <family val="2"/>
    </font>
    <font>
      <sz val="10"/>
      <color indexed="56"/>
      <name val="Arial CE"/>
      <family val="2"/>
    </font>
    <font>
      <i/>
      <u val="single"/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i/>
      <sz val="9"/>
      <name val="Comic Sans MS"/>
      <family val="4"/>
    </font>
    <font>
      <sz val="10"/>
      <color indexed="10"/>
      <name val="Comic Sans MS"/>
      <family val="4"/>
    </font>
    <font>
      <i/>
      <u val="single"/>
      <sz val="8"/>
      <name val="Comic Sans MS"/>
      <family val="4"/>
    </font>
    <font>
      <i/>
      <sz val="8"/>
      <name val="Comic Sans MS"/>
      <family val="4"/>
    </font>
    <font>
      <sz val="9"/>
      <name val="Comic Sans MS"/>
      <family val="4"/>
    </font>
    <font>
      <b/>
      <i/>
      <sz val="11"/>
      <name val="Comic Sans MS"/>
      <family val="4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 style="thin">
        <color theme="1"/>
      </bottom>
    </border>
    <border>
      <left style="medium"/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medium"/>
      <top>
        <color indexed="63"/>
      </top>
      <bottom style="thin">
        <color theme="1"/>
      </bottom>
    </border>
    <border>
      <left style="thin"/>
      <right style="thin"/>
      <top style="double"/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>
        <color theme="1"/>
      </bottom>
    </border>
    <border>
      <left style="thin"/>
      <right style="medium"/>
      <top style="double"/>
      <bottom style="thin">
        <color theme="1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3" fontId="6" fillId="0" borderId="10" xfId="0" applyNumberFormat="1" applyFont="1" applyFill="1" applyBorder="1" applyAlignment="1">
      <alignment/>
    </xf>
    <xf numFmtId="10" fontId="6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3" fontId="11" fillId="0" borderId="18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/>
    </xf>
    <xf numFmtId="3" fontId="13" fillId="0" borderId="23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33" borderId="26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vertical="center"/>
    </xf>
    <xf numFmtId="3" fontId="16" fillId="0" borderId="29" xfId="0" applyNumberFormat="1" applyFont="1" applyFill="1" applyBorder="1" applyAlignment="1">
      <alignment/>
    </xf>
    <xf numFmtId="3" fontId="16" fillId="33" borderId="29" xfId="0" applyNumberFormat="1" applyFont="1" applyFill="1" applyBorder="1" applyAlignment="1">
      <alignment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 wrapText="1"/>
    </xf>
    <xf numFmtId="3" fontId="11" fillId="0" borderId="25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vertical="center"/>
    </xf>
    <xf numFmtId="0" fontId="16" fillId="0" borderId="29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vertical="center" wrapText="1"/>
    </xf>
    <xf numFmtId="0" fontId="16" fillId="0" borderId="29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 vertical="center"/>
    </xf>
    <xf numFmtId="0" fontId="11" fillId="0" borderId="27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49" fontId="11" fillId="0" borderId="30" xfId="0" applyNumberFormat="1" applyFont="1" applyFill="1" applyBorder="1" applyAlignment="1">
      <alignment vertical="center" wrapText="1"/>
    </xf>
    <xf numFmtId="0" fontId="16" fillId="0" borderId="29" xfId="0" applyNumberFormat="1" applyFont="1" applyFill="1" applyBorder="1" applyAlignment="1">
      <alignment vertical="center" wrapText="1"/>
    </xf>
    <xf numFmtId="0" fontId="11" fillId="0" borderId="27" xfId="0" applyNumberFormat="1" applyFont="1" applyFill="1" applyBorder="1" applyAlignment="1">
      <alignment vertical="center"/>
    </xf>
    <xf numFmtId="3" fontId="16" fillId="0" borderId="28" xfId="0" applyNumberFormat="1" applyFont="1" applyFill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6" fillId="33" borderId="30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vertical="center"/>
    </xf>
    <xf numFmtId="3" fontId="11" fillId="33" borderId="26" xfId="0" applyNumberFormat="1" applyFont="1" applyFill="1" applyBorder="1" applyAlignment="1">
      <alignment/>
    </xf>
    <xf numFmtId="3" fontId="16" fillId="33" borderId="24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10" fontId="12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10" fontId="11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164" fontId="11" fillId="0" borderId="37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10" fontId="11" fillId="0" borderId="42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10" fontId="11" fillId="0" borderId="43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0" xfId="0" applyFont="1" applyBorder="1" applyAlignment="1">
      <alignment wrapText="1"/>
    </xf>
    <xf numFmtId="0" fontId="11" fillId="0" borderId="38" xfId="0" applyFont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44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3" fontId="11" fillId="33" borderId="24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vertical="center" wrapText="1"/>
    </xf>
    <xf numFmtId="3" fontId="11" fillId="34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vertical="center" wrapText="1"/>
    </xf>
    <xf numFmtId="3" fontId="11" fillId="34" borderId="26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vertical="center" wrapText="1"/>
    </xf>
    <xf numFmtId="49" fontId="23" fillId="0" borderId="30" xfId="0" applyNumberFormat="1" applyFont="1" applyFill="1" applyBorder="1" applyAlignment="1">
      <alignment vertical="center" wrapText="1"/>
    </xf>
    <xf numFmtId="3" fontId="11" fillId="34" borderId="24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/>
    </xf>
    <xf numFmtId="3" fontId="16" fillId="36" borderId="12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26" fillId="0" borderId="26" xfId="0" applyFont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3" fontId="16" fillId="0" borderId="29" xfId="0" applyNumberFormat="1" applyFont="1" applyBorder="1" applyAlignment="1">
      <alignment/>
    </xf>
    <xf numFmtId="0" fontId="11" fillId="0" borderId="25" xfId="0" applyFont="1" applyBorder="1" applyAlignment="1">
      <alignment vertical="center" wrapText="1"/>
    </xf>
    <xf numFmtId="3" fontId="11" fillId="0" borderId="25" xfId="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wrapText="1"/>
    </xf>
    <xf numFmtId="0" fontId="11" fillId="0" borderId="46" xfId="0" applyFont="1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3" fontId="11" fillId="0" borderId="46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16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3" fontId="11" fillId="33" borderId="29" xfId="0" applyNumberFormat="1" applyFont="1" applyFill="1" applyBorder="1" applyAlignment="1">
      <alignment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6" fillId="0" borderId="47" xfId="0" applyNumberFormat="1" applyFont="1" applyBorder="1" applyAlignment="1">
      <alignment/>
    </xf>
    <xf numFmtId="3" fontId="16" fillId="36" borderId="47" xfId="0" applyNumberFormat="1" applyFont="1" applyFill="1" applyBorder="1" applyAlignment="1">
      <alignment/>
    </xf>
    <xf numFmtId="49" fontId="27" fillId="0" borderId="48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49" fontId="27" fillId="33" borderId="51" xfId="0" applyNumberFormat="1" applyFont="1" applyFill="1" applyBorder="1" applyAlignment="1">
      <alignment horizontal="center" vertical="center" wrapText="1"/>
    </xf>
    <xf numFmtId="49" fontId="27" fillId="33" borderId="52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0" fontId="16" fillId="0" borderId="51" xfId="0" applyFont="1" applyBorder="1" applyAlignment="1">
      <alignment vertical="center" wrapText="1"/>
    </xf>
    <xf numFmtId="3" fontId="16" fillId="0" borderId="53" xfId="0" applyNumberFormat="1" applyFont="1" applyBorder="1" applyAlignment="1">
      <alignment/>
    </xf>
    <xf numFmtId="3" fontId="16" fillId="33" borderId="53" xfId="0" applyNumberFormat="1" applyFont="1" applyFill="1" applyBorder="1" applyAlignment="1">
      <alignment/>
    </xf>
    <xf numFmtId="3" fontId="16" fillId="0" borderId="54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3" fontId="11" fillId="33" borderId="16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 wrapText="1"/>
    </xf>
    <xf numFmtId="3" fontId="16" fillId="0" borderId="57" xfId="0" applyNumberFormat="1" applyFont="1" applyBorder="1" applyAlignment="1">
      <alignment/>
    </xf>
    <xf numFmtId="3" fontId="16" fillId="33" borderId="57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0" borderId="60" xfId="0" applyNumberFormat="1" applyFont="1" applyBorder="1" applyAlignment="1">
      <alignment/>
    </xf>
    <xf numFmtId="3" fontId="11" fillId="33" borderId="60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17" xfId="0" applyNumberFormat="1" applyFont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64" xfId="0" applyFont="1" applyBorder="1" applyAlignment="1">
      <alignment vertical="center" wrapText="1"/>
    </xf>
    <xf numFmtId="3" fontId="11" fillId="0" borderId="20" xfId="0" applyNumberFormat="1" applyFont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6" xfId="0" applyFont="1" applyBorder="1" applyAlignment="1">
      <alignment vertical="center" wrapText="1"/>
    </xf>
    <xf numFmtId="3" fontId="16" fillId="0" borderId="67" xfId="0" applyNumberFormat="1" applyFont="1" applyBorder="1" applyAlignment="1">
      <alignment/>
    </xf>
    <xf numFmtId="3" fontId="16" fillId="33" borderId="67" xfId="0" applyNumberFormat="1" applyFont="1" applyFill="1" applyBorder="1" applyAlignment="1">
      <alignment/>
    </xf>
    <xf numFmtId="0" fontId="11" fillId="0" borderId="68" xfId="0" applyFont="1" applyBorder="1" applyAlignment="1">
      <alignment horizontal="center" vertical="center"/>
    </xf>
    <xf numFmtId="0" fontId="11" fillId="0" borderId="57" xfId="0" applyFont="1" applyBorder="1" applyAlignment="1">
      <alignment vertical="center" wrapText="1"/>
    </xf>
    <xf numFmtId="3" fontId="11" fillId="0" borderId="57" xfId="0" applyNumberFormat="1" applyFont="1" applyBorder="1" applyAlignment="1">
      <alignment/>
    </xf>
    <xf numFmtId="3" fontId="11" fillId="33" borderId="68" xfId="0" applyNumberFormat="1" applyFont="1" applyFill="1" applyBorder="1" applyAlignment="1">
      <alignment/>
    </xf>
    <xf numFmtId="3" fontId="11" fillId="0" borderId="69" xfId="0" applyNumberFormat="1" applyFont="1" applyFill="1" applyBorder="1" applyAlignment="1">
      <alignment/>
    </xf>
    <xf numFmtId="3" fontId="11" fillId="33" borderId="57" xfId="0" applyNumberFormat="1" applyFont="1" applyFill="1" applyBorder="1" applyAlignment="1">
      <alignment/>
    </xf>
    <xf numFmtId="0" fontId="16" fillId="0" borderId="68" xfId="0" applyFont="1" applyBorder="1" applyAlignment="1">
      <alignment horizontal="center" vertical="center"/>
    </xf>
    <xf numFmtId="0" fontId="16" fillId="0" borderId="70" xfId="0" applyFont="1" applyBorder="1" applyAlignment="1">
      <alignment vertical="center" wrapText="1"/>
    </xf>
    <xf numFmtId="3" fontId="16" fillId="0" borderId="68" xfId="0" applyNumberFormat="1" applyFont="1" applyBorder="1" applyAlignment="1">
      <alignment/>
    </xf>
    <xf numFmtId="3" fontId="16" fillId="33" borderId="68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22" fillId="0" borderId="7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lef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0" fontId="11" fillId="0" borderId="73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lef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49" fontId="14" fillId="35" borderId="39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left" vertical="center" wrapText="1"/>
    </xf>
    <xf numFmtId="3" fontId="11" fillId="35" borderId="26" xfId="0" applyNumberFormat="1" applyFont="1" applyFill="1" applyBorder="1" applyAlignment="1">
      <alignment horizontal="right" vertical="center"/>
    </xf>
    <xf numFmtId="3" fontId="11" fillId="35" borderId="43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49" fontId="14" fillId="35" borderId="26" xfId="0" applyNumberFormat="1" applyFont="1" applyFill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7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1" fillId="35" borderId="38" xfId="0" applyFont="1" applyFill="1" applyBorder="1" applyAlignment="1">
      <alignment horizontal="center" vertical="center"/>
    </xf>
    <xf numFmtId="49" fontId="11" fillId="35" borderId="30" xfId="0" applyNumberFormat="1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1" fillId="35" borderId="30" xfId="0" applyFont="1" applyFill="1" applyBorder="1" applyAlignment="1">
      <alignment horizontal="left" vertical="center" wrapText="1"/>
    </xf>
    <xf numFmtId="3" fontId="14" fillId="0" borderId="42" xfId="0" applyNumberFormat="1" applyFont="1" applyBorder="1" applyAlignment="1">
      <alignment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3" fontId="13" fillId="0" borderId="42" xfId="0" applyNumberFormat="1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Fill="1" applyBorder="1" applyAlignment="1">
      <alignment horizontal="center"/>
    </xf>
    <xf numFmtId="3" fontId="28" fillId="0" borderId="8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49" fontId="11" fillId="0" borderId="25" xfId="0" applyNumberFormat="1" applyFont="1" applyFill="1" applyBorder="1" applyAlignment="1">
      <alignment horizontal="left" vertical="center" wrapText="1"/>
    </xf>
    <xf numFmtId="3" fontId="16" fillId="0" borderId="29" xfId="0" applyNumberFormat="1" applyFont="1" applyFill="1" applyBorder="1" applyAlignment="1">
      <alignment horizontal="right" vertical="center"/>
    </xf>
    <xf numFmtId="3" fontId="16" fillId="33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49" fontId="15" fillId="0" borderId="43" xfId="0" applyNumberFormat="1" applyFont="1" applyFill="1" applyBorder="1" applyAlignment="1">
      <alignment horizontal="center" vertical="center" wrapText="1"/>
    </xf>
    <xf numFmtId="1" fontId="15" fillId="0" borderId="83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0" fontId="16" fillId="0" borderId="84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/>
    </xf>
    <xf numFmtId="0" fontId="11" fillId="0" borderId="36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/>
    </xf>
    <xf numFmtId="0" fontId="11" fillId="0" borderId="39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/>
    </xf>
    <xf numFmtId="49" fontId="16" fillId="0" borderId="34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83" xfId="0" applyNumberFormat="1" applyFont="1" applyFill="1" applyBorder="1" applyAlignment="1">
      <alignment horizontal="center" vertical="center"/>
    </xf>
    <xf numFmtId="3" fontId="11" fillId="0" borderId="85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6" fillId="0" borderId="86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0" fontId="11" fillId="0" borderId="87" xfId="0" applyNumberFormat="1" applyFont="1" applyFill="1" applyBorder="1" applyAlignment="1">
      <alignment horizontal="center" vertical="center"/>
    </xf>
    <xf numFmtId="3" fontId="11" fillId="0" borderId="88" xfId="0" applyNumberFormat="1" applyFont="1" applyFill="1" applyBorder="1" applyAlignment="1">
      <alignment/>
    </xf>
    <xf numFmtId="3" fontId="16" fillId="0" borderId="89" xfId="0" applyNumberFormat="1" applyFont="1" applyFill="1" applyBorder="1" applyAlignment="1">
      <alignment/>
    </xf>
    <xf numFmtId="3" fontId="16" fillId="36" borderId="89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60" xfId="0" applyNumberFormat="1" applyFont="1" applyFill="1" applyBorder="1" applyAlignment="1">
      <alignment/>
    </xf>
    <xf numFmtId="0" fontId="16" fillId="0" borderId="57" xfId="0" applyFont="1" applyBorder="1" applyAlignment="1">
      <alignment vertical="center" wrapText="1"/>
    </xf>
    <xf numFmtId="0" fontId="11" fillId="0" borderId="57" xfId="0" applyNumberFormat="1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 horizontal="right" vertical="center"/>
    </xf>
    <xf numFmtId="3" fontId="16" fillId="33" borderId="47" xfId="0" applyNumberFormat="1" applyFont="1" applyFill="1" applyBorder="1" applyAlignment="1">
      <alignment horizontal="right" vertical="center"/>
    </xf>
    <xf numFmtId="3" fontId="16" fillId="33" borderId="35" xfId="0" applyNumberFormat="1" applyFont="1" applyFill="1" applyBorder="1" applyAlignment="1">
      <alignment horizontal="right" vertical="center"/>
    </xf>
    <xf numFmtId="3" fontId="11" fillId="33" borderId="91" xfId="0" applyNumberFormat="1" applyFont="1" applyFill="1" applyBorder="1" applyAlignment="1">
      <alignment horizontal="right" vertical="center"/>
    </xf>
    <xf numFmtId="3" fontId="12" fillId="33" borderId="12" xfId="0" applyNumberFormat="1" applyFont="1" applyFill="1" applyBorder="1" applyAlignment="1">
      <alignment/>
    </xf>
    <xf numFmtId="0" fontId="11" fillId="0" borderId="29" xfId="0" applyFont="1" applyFill="1" applyBorder="1" applyAlignment="1">
      <alignment vertical="center" wrapText="1"/>
    </xf>
    <xf numFmtId="0" fontId="16" fillId="0" borderId="87" xfId="0" applyNumberFormat="1" applyFont="1" applyFill="1" applyBorder="1" applyAlignment="1">
      <alignment horizontal="center" vertical="center"/>
    </xf>
    <xf numFmtId="0" fontId="16" fillId="0" borderId="38" xfId="0" applyNumberFormat="1" applyFont="1" applyFill="1" applyBorder="1" applyAlignment="1">
      <alignment horizontal="center" vertical="center"/>
    </xf>
    <xf numFmtId="3" fontId="16" fillId="37" borderId="29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3" fontId="11" fillId="37" borderId="25" xfId="0" applyNumberFormat="1" applyFont="1" applyFill="1" applyBorder="1" applyAlignment="1">
      <alignment/>
    </xf>
    <xf numFmtId="3" fontId="16" fillId="0" borderId="92" xfId="0" applyNumberFormat="1" applyFont="1" applyFill="1" applyBorder="1" applyAlignment="1">
      <alignment/>
    </xf>
    <xf numFmtId="0" fontId="11" fillId="0" borderId="31" xfId="0" applyNumberFormat="1" applyFont="1" applyFill="1" applyBorder="1" applyAlignment="1">
      <alignment vertical="center" wrapText="1"/>
    </xf>
    <xf numFmtId="49" fontId="11" fillId="0" borderId="93" xfId="0" applyNumberFormat="1" applyFont="1" applyBorder="1" applyAlignment="1">
      <alignment horizontal="left" vertical="center" wrapText="1"/>
    </xf>
    <xf numFmtId="0" fontId="11" fillId="0" borderId="94" xfId="0" applyNumberFormat="1" applyFont="1" applyFill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center" vertical="center"/>
    </xf>
    <xf numFmtId="49" fontId="11" fillId="0" borderId="95" xfId="0" applyNumberFormat="1" applyFont="1" applyFill="1" applyBorder="1" applyAlignment="1">
      <alignment horizontal="center" vertical="center" wrapText="1"/>
    </xf>
    <xf numFmtId="3" fontId="11" fillId="0" borderId="95" xfId="0" applyNumberFormat="1" applyFont="1" applyFill="1" applyBorder="1" applyAlignment="1">
      <alignment/>
    </xf>
    <xf numFmtId="3" fontId="11" fillId="33" borderId="95" xfId="0" applyNumberFormat="1" applyFont="1" applyFill="1" applyBorder="1" applyAlignment="1">
      <alignment/>
    </xf>
    <xf numFmtId="3" fontId="11" fillId="0" borderId="96" xfId="0" applyNumberFormat="1" applyFont="1" applyFill="1" applyBorder="1" applyAlignment="1">
      <alignment/>
    </xf>
    <xf numFmtId="0" fontId="11" fillId="38" borderId="25" xfId="0" applyNumberFormat="1" applyFont="1" applyFill="1" applyBorder="1" applyAlignment="1">
      <alignment horizontal="center" vertical="center"/>
    </xf>
    <xf numFmtId="49" fontId="11" fillId="38" borderId="30" xfId="0" applyNumberFormat="1" applyFont="1" applyFill="1" applyBorder="1" applyAlignment="1">
      <alignment horizontal="center" vertical="center" wrapText="1"/>
    </xf>
    <xf numFmtId="49" fontId="11" fillId="38" borderId="93" xfId="0" applyNumberFormat="1" applyFont="1" applyFill="1" applyBorder="1" applyAlignment="1">
      <alignment horizontal="left" vertical="center" wrapText="1"/>
    </xf>
    <xf numFmtId="3" fontId="11" fillId="38" borderId="30" xfId="0" applyNumberFormat="1" applyFont="1" applyFill="1" applyBorder="1" applyAlignment="1">
      <alignment/>
    </xf>
    <xf numFmtId="3" fontId="11" fillId="38" borderId="25" xfId="0" applyNumberFormat="1" applyFont="1" applyFill="1" applyBorder="1" applyAlignment="1">
      <alignment/>
    </xf>
    <xf numFmtId="3" fontId="11" fillId="38" borderId="37" xfId="0" applyNumberFormat="1" applyFont="1" applyFill="1" applyBorder="1" applyAlignment="1">
      <alignment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36" xfId="0" applyNumberFormat="1" applyFont="1" applyFill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7" xfId="0" applyFont="1" applyBorder="1" applyAlignment="1">
      <alignment vertical="center" wrapText="1"/>
    </xf>
    <xf numFmtId="3" fontId="11" fillId="0" borderId="97" xfId="0" applyNumberFormat="1" applyFont="1" applyFill="1" applyBorder="1" applyAlignment="1">
      <alignment/>
    </xf>
    <xf numFmtId="3" fontId="11" fillId="33" borderId="97" xfId="0" applyNumberFormat="1" applyFont="1" applyFill="1" applyBorder="1" applyAlignment="1">
      <alignment/>
    </xf>
    <xf numFmtId="49" fontId="11" fillId="39" borderId="93" xfId="0" applyNumberFormat="1" applyFont="1" applyFill="1" applyBorder="1" applyAlignment="1">
      <alignment horizontal="left" vertical="center" wrapText="1"/>
    </xf>
    <xf numFmtId="0" fontId="0" fillId="0" borderId="98" xfId="0" applyFill="1" applyBorder="1" applyAlignment="1">
      <alignment/>
    </xf>
    <xf numFmtId="0" fontId="21" fillId="0" borderId="74" xfId="0" applyFont="1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3" fontId="16" fillId="33" borderId="35" xfId="0" applyNumberFormat="1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3" fontId="11" fillId="33" borderId="35" xfId="0" applyNumberFormat="1" applyFont="1" applyFill="1" applyBorder="1" applyAlignment="1">
      <alignment/>
    </xf>
    <xf numFmtId="0" fontId="16" fillId="0" borderId="84" xfId="0" applyFont="1" applyFill="1" applyBorder="1" applyAlignment="1">
      <alignment horizontal="center" vertical="center"/>
    </xf>
    <xf numFmtId="3" fontId="16" fillId="33" borderId="86" xfId="0" applyNumberFormat="1" applyFont="1" applyFill="1" applyBorder="1" applyAlignment="1">
      <alignment/>
    </xf>
    <xf numFmtId="0" fontId="11" fillId="0" borderId="74" xfId="0" applyFont="1" applyFill="1" applyBorder="1" applyAlignment="1">
      <alignment horizontal="center" vertical="center"/>
    </xf>
    <xf numFmtId="3" fontId="11" fillId="33" borderId="75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3" fontId="11" fillId="33" borderId="42" xfId="0" applyNumberFormat="1" applyFont="1" applyFill="1" applyBorder="1" applyAlignment="1">
      <alignment/>
    </xf>
    <xf numFmtId="0" fontId="11" fillId="34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3" fontId="11" fillId="33" borderId="43" xfId="0" applyNumberFormat="1" applyFont="1" applyFill="1" applyBorder="1" applyAlignment="1">
      <alignment/>
    </xf>
    <xf numFmtId="0" fontId="11" fillId="34" borderId="74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3" fontId="11" fillId="33" borderId="88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3" fontId="11" fillId="33" borderId="99" xfId="0" applyNumberFormat="1" applyFont="1" applyFill="1" applyBorder="1" applyAlignment="1">
      <alignment/>
    </xf>
    <xf numFmtId="0" fontId="11" fillId="0" borderId="83" xfId="0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/>
    </xf>
    <xf numFmtId="0" fontId="16" fillId="0" borderId="8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3" fontId="11" fillId="33" borderId="101" xfId="0" applyNumberFormat="1" applyFont="1" applyFill="1" applyBorder="1" applyAlignment="1">
      <alignment/>
    </xf>
    <xf numFmtId="0" fontId="16" fillId="0" borderId="102" xfId="0" applyFont="1" applyBorder="1" applyAlignment="1">
      <alignment horizontal="center" vertical="center"/>
    </xf>
    <xf numFmtId="3" fontId="11" fillId="33" borderId="103" xfId="0" applyNumberFormat="1" applyFont="1" applyFill="1" applyBorder="1" applyAlignment="1">
      <alignment/>
    </xf>
    <xf numFmtId="3" fontId="16" fillId="36" borderId="77" xfId="0" applyNumberFormat="1" applyFont="1" applyFill="1" applyBorder="1" applyAlignment="1">
      <alignment/>
    </xf>
    <xf numFmtId="0" fontId="11" fillId="0" borderId="30" xfId="0" applyFont="1" applyFill="1" applyBorder="1" applyAlignment="1">
      <alignment wrapText="1"/>
    </xf>
    <xf numFmtId="49" fontId="22" fillId="0" borderId="90" xfId="0" applyNumberFormat="1" applyFont="1" applyBorder="1" applyAlignment="1">
      <alignment horizontal="center" vertical="center" wrapText="1"/>
    </xf>
    <xf numFmtId="3" fontId="16" fillId="0" borderId="104" xfId="0" applyNumberFormat="1" applyFont="1" applyBorder="1" applyAlignment="1">
      <alignment/>
    </xf>
    <xf numFmtId="3" fontId="16" fillId="0" borderId="105" xfId="0" applyNumberFormat="1" applyFont="1" applyBorder="1" applyAlignment="1">
      <alignment/>
    </xf>
    <xf numFmtId="3" fontId="16" fillId="0" borderId="105" xfId="0" applyNumberFormat="1" applyFont="1" applyFill="1" applyBorder="1" applyAlignment="1">
      <alignment/>
    </xf>
    <xf numFmtId="3" fontId="16" fillId="0" borderId="69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1" fillId="0" borderId="106" xfId="0" applyNumberFormat="1" applyFont="1" applyBorder="1" applyAlignment="1">
      <alignment/>
    </xf>
    <xf numFmtId="3" fontId="16" fillId="0" borderId="107" xfId="0" applyNumberFormat="1" applyFont="1" applyBorder="1" applyAlignment="1">
      <alignment/>
    </xf>
    <xf numFmtId="3" fontId="11" fillId="0" borderId="98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08" xfId="0" applyNumberFormat="1" applyFont="1" applyFill="1" applyBorder="1" applyAlignment="1">
      <alignment/>
    </xf>
    <xf numFmtId="3" fontId="16" fillId="0" borderId="107" xfId="0" applyNumberFormat="1" applyFont="1" applyFill="1" applyBorder="1" applyAlignment="1">
      <alignment/>
    </xf>
    <xf numFmtId="3" fontId="11" fillId="0" borderId="106" xfId="0" applyNumberFormat="1" applyFont="1" applyFill="1" applyBorder="1" applyAlignment="1">
      <alignment/>
    </xf>
    <xf numFmtId="3" fontId="11" fillId="0" borderId="104" xfId="0" applyNumberFormat="1" applyFont="1" applyBorder="1" applyAlignment="1">
      <alignment/>
    </xf>
    <xf numFmtId="3" fontId="11" fillId="0" borderId="9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6" fillId="0" borderId="28" xfId="0" applyNumberFormat="1" applyFont="1" applyBorder="1" applyAlignment="1">
      <alignment/>
    </xf>
    <xf numFmtId="3" fontId="11" fillId="0" borderId="109" xfId="0" applyNumberFormat="1" applyFont="1" applyFill="1" applyBorder="1" applyAlignment="1">
      <alignment/>
    </xf>
    <xf numFmtId="0" fontId="15" fillId="33" borderId="110" xfId="0" applyFont="1" applyFill="1" applyBorder="1" applyAlignment="1">
      <alignment horizontal="center" vertical="center"/>
    </xf>
    <xf numFmtId="3" fontId="16" fillId="33" borderId="7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left" wrapText="1"/>
    </xf>
    <xf numFmtId="0" fontId="12" fillId="0" borderId="62" xfId="0" applyNumberFormat="1" applyFont="1" applyFill="1" applyBorder="1" applyAlignment="1">
      <alignment horizontal="left" wrapText="1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6" fillId="0" borderId="113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5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3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116" xfId="0" applyNumberFormat="1" applyFont="1" applyFill="1" applyBorder="1" applyAlignment="1">
      <alignment horizontal="left" wrapText="1"/>
    </xf>
    <xf numFmtId="0" fontId="11" fillId="0" borderId="117" xfId="0" applyFont="1" applyBorder="1" applyAlignment="1">
      <alignment/>
    </xf>
    <xf numFmtId="0" fontId="11" fillId="0" borderId="15" xfId="0" applyFont="1" applyBorder="1" applyAlignment="1">
      <alignment/>
    </xf>
    <xf numFmtId="49" fontId="12" fillId="33" borderId="26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left" wrapTex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1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left" wrapText="1"/>
    </xf>
    <xf numFmtId="0" fontId="21" fillId="0" borderId="63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16" xfId="0" applyFont="1" applyFill="1" applyBorder="1" applyAlignment="1">
      <alignment horizontal="left" vertical="center"/>
    </xf>
    <xf numFmtId="0" fontId="22" fillId="0" borderId="117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112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2" fillId="0" borderId="119" xfId="0" applyFont="1" applyFill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22" fillId="0" borderId="116" xfId="0" applyFont="1" applyBorder="1" applyAlignment="1">
      <alignment horizontal="left" vertical="center"/>
    </xf>
    <xf numFmtId="0" fontId="22" fillId="0" borderId="11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1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21" fillId="0" borderId="121" xfId="0" applyNumberFormat="1" applyFont="1" applyBorder="1" applyAlignment="1">
      <alignment horizontal="left" vertical="center" wrapText="1"/>
    </xf>
    <xf numFmtId="49" fontId="21" fillId="0" borderId="122" xfId="0" applyNumberFormat="1" applyFont="1" applyBorder="1" applyAlignment="1">
      <alignment horizontal="left" vertical="center" wrapText="1"/>
    </xf>
    <xf numFmtId="49" fontId="21" fillId="0" borderId="123" xfId="0" applyNumberFormat="1" applyFont="1" applyBorder="1" applyAlignment="1">
      <alignment horizontal="left" vertical="center" wrapText="1"/>
    </xf>
    <xf numFmtId="49" fontId="21" fillId="0" borderId="124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2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25" xfId="0" applyNumberFormat="1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11" xfId="0" applyNumberFormat="1" applyFont="1" applyBorder="1" applyAlignment="1">
      <alignment horizontal="left" vertical="center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60" xfId="0" applyNumberFormat="1" applyFont="1" applyFill="1" applyBorder="1" applyAlignment="1">
      <alignment horizontal="center" vertical="center" wrapText="1"/>
    </xf>
    <xf numFmtId="49" fontId="22" fillId="33" borderId="90" xfId="0" applyNumberFormat="1" applyFont="1" applyFill="1" applyBorder="1" applyAlignment="1">
      <alignment horizontal="center" vertical="center" wrapText="1"/>
    </xf>
    <xf numFmtId="49" fontId="22" fillId="33" borderId="71" xfId="0" applyNumberFormat="1" applyFont="1" applyFill="1" applyBorder="1" applyAlignment="1">
      <alignment horizontal="center" vertical="center" wrapText="1"/>
    </xf>
    <xf numFmtId="49" fontId="22" fillId="0" borderId="1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22" xfId="0" applyBorder="1" applyAlignment="1">
      <alignment horizontal="center"/>
    </xf>
    <xf numFmtId="49" fontId="22" fillId="0" borderId="71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1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16" fillId="0" borderId="78" xfId="0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center"/>
    </xf>
    <xf numFmtId="0" fontId="22" fillId="0" borderId="78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126" xfId="0" applyFont="1" applyBorder="1" applyAlignment="1">
      <alignment/>
    </xf>
    <xf numFmtId="0" fontId="22" fillId="0" borderId="77" xfId="0" applyFont="1" applyBorder="1" applyAlignment="1">
      <alignment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25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1" fillId="0" borderId="78" xfId="0" applyFont="1" applyBorder="1" applyAlignment="1">
      <alignment/>
    </xf>
    <xf numFmtId="0" fontId="21" fillId="0" borderId="77" xfId="0" applyFont="1" applyBorder="1" applyAlignment="1">
      <alignment/>
    </xf>
    <xf numFmtId="0" fontId="22" fillId="0" borderId="1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1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1" fillId="0" borderId="112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35" borderId="112" xfId="0" applyNumberFormat="1" applyFont="1" applyFill="1" applyBorder="1" applyAlignment="1">
      <alignment horizontal="center"/>
    </xf>
    <xf numFmtId="3" fontId="11" fillId="35" borderId="19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/>
    </xf>
    <xf numFmtId="3" fontId="13" fillId="0" borderId="77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3" fontId="11" fillId="35" borderId="30" xfId="0" applyNumberFormat="1" applyFont="1" applyFill="1" applyBorder="1" applyAlignment="1">
      <alignment horizontal="center"/>
    </xf>
    <xf numFmtId="3" fontId="11" fillId="35" borderId="42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9" fontId="28" fillId="0" borderId="127" xfId="0" applyNumberFormat="1" applyFont="1" applyBorder="1" applyAlignment="1">
      <alignment horizontal="center" vertical="center"/>
    </xf>
    <xf numFmtId="49" fontId="16" fillId="0" borderId="128" xfId="0" applyNumberFormat="1" applyFont="1" applyBorder="1" applyAlignment="1">
      <alignment horizontal="center" vertical="center"/>
    </xf>
    <xf numFmtId="49" fontId="16" fillId="0" borderId="129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2" sqref="E2:E4"/>
    </sheetView>
  </sheetViews>
  <sheetFormatPr defaultColWidth="9.00390625" defaultRowHeight="12.75"/>
  <cols>
    <col min="2" max="2" width="74.625" style="0" customWidth="1"/>
    <col min="3" max="3" width="13.125" style="0" customWidth="1"/>
    <col min="4" max="4" width="12.375" style="0" customWidth="1"/>
    <col min="5" max="5" width="13.75390625" style="0" customWidth="1"/>
    <col min="6" max="6" width="12.625" style="0" customWidth="1"/>
    <col min="8" max="8" width="9.25390625" style="0" bestFit="1" customWidth="1"/>
  </cols>
  <sheetData>
    <row r="1" spans="1:6" ht="15">
      <c r="A1" s="10"/>
      <c r="B1" s="10"/>
      <c r="C1" s="10"/>
      <c r="D1" s="10"/>
      <c r="E1" s="29" t="s">
        <v>20</v>
      </c>
      <c r="F1" s="10"/>
    </row>
    <row r="2" spans="1:6" ht="15">
      <c r="A2" s="10"/>
      <c r="B2" s="10"/>
      <c r="C2" s="10"/>
      <c r="D2" s="10"/>
      <c r="E2" s="29" t="s">
        <v>323</v>
      </c>
      <c r="F2" s="10"/>
    </row>
    <row r="3" spans="1:6" ht="15">
      <c r="A3" s="10"/>
      <c r="C3" s="10"/>
      <c r="D3" s="10"/>
      <c r="E3" s="29" t="s">
        <v>21</v>
      </c>
      <c r="F3" s="10"/>
    </row>
    <row r="4" spans="1:6" ht="15">
      <c r="A4" s="10"/>
      <c r="B4" s="10"/>
      <c r="C4" s="10"/>
      <c r="D4" s="10"/>
      <c r="E4" s="30" t="s">
        <v>324</v>
      </c>
      <c r="F4" s="10"/>
    </row>
    <row r="5" spans="1:6" ht="12.75">
      <c r="A5" s="10"/>
      <c r="B5" s="10"/>
      <c r="C5" s="10"/>
      <c r="D5" s="10"/>
      <c r="E5" s="11"/>
      <c r="F5" s="10"/>
    </row>
    <row r="6" spans="1:6" ht="16.5">
      <c r="A6" s="468" t="s">
        <v>242</v>
      </c>
      <c r="B6" s="469"/>
      <c r="C6" s="469"/>
      <c r="D6" s="469"/>
      <c r="E6" s="469"/>
      <c r="F6" s="469"/>
    </row>
    <row r="7" spans="1:6" ht="15.75" customHeight="1">
      <c r="A7" s="468" t="s">
        <v>284</v>
      </c>
      <c r="B7" s="469"/>
      <c r="C7" s="469"/>
      <c r="D7" s="469"/>
      <c r="E7" s="469"/>
      <c r="F7" s="469"/>
    </row>
    <row r="8" spans="1:6" ht="18" customHeight="1" thickBot="1">
      <c r="A8" s="10"/>
      <c r="B8" s="10"/>
      <c r="C8" s="10"/>
      <c r="D8" s="10"/>
      <c r="E8" s="10"/>
      <c r="F8" s="10"/>
    </row>
    <row r="9" spans="1:6" ht="18.75" thickBot="1">
      <c r="A9" s="472" t="s">
        <v>0</v>
      </c>
      <c r="B9" s="472" t="s">
        <v>1</v>
      </c>
      <c r="C9" s="470" t="s">
        <v>2</v>
      </c>
      <c r="D9" s="471"/>
      <c r="E9" s="470" t="s">
        <v>3</v>
      </c>
      <c r="F9" s="471"/>
    </row>
    <row r="10" spans="1:6" ht="54.75" thickBot="1">
      <c r="A10" s="473"/>
      <c r="B10" s="473"/>
      <c r="C10" s="31" t="s">
        <v>4</v>
      </c>
      <c r="D10" s="32" t="s">
        <v>16</v>
      </c>
      <c r="E10" s="31" t="s">
        <v>4</v>
      </c>
      <c r="F10" s="32" t="s">
        <v>16</v>
      </c>
    </row>
    <row r="11" spans="1:6" ht="16.5">
      <c r="A11" s="33" t="s">
        <v>22</v>
      </c>
      <c r="B11" s="34" t="s">
        <v>5</v>
      </c>
      <c r="C11" s="35">
        <v>80000</v>
      </c>
      <c r="D11" s="36">
        <v>80000</v>
      </c>
      <c r="E11" s="37">
        <v>90000</v>
      </c>
      <c r="F11" s="36">
        <v>80000</v>
      </c>
    </row>
    <row r="12" spans="1:6" ht="16.5">
      <c r="A12" s="38" t="s">
        <v>23</v>
      </c>
      <c r="B12" s="39" t="s">
        <v>6</v>
      </c>
      <c r="C12" s="40">
        <v>20000</v>
      </c>
      <c r="D12" s="41">
        <v>0</v>
      </c>
      <c r="E12" s="42">
        <v>20000</v>
      </c>
      <c r="F12" s="41">
        <v>0</v>
      </c>
    </row>
    <row r="13" spans="1:6" ht="16.5">
      <c r="A13" s="44">
        <v>600</v>
      </c>
      <c r="B13" s="39" t="s">
        <v>7</v>
      </c>
      <c r="C13" s="40">
        <v>16200</v>
      </c>
      <c r="D13" s="41">
        <v>0</v>
      </c>
      <c r="E13" s="42">
        <v>2600000</v>
      </c>
      <c r="F13" s="41">
        <v>0</v>
      </c>
    </row>
    <row r="14" spans="1:6" ht="16.5">
      <c r="A14" s="44">
        <v>630</v>
      </c>
      <c r="B14" s="39" t="s">
        <v>19</v>
      </c>
      <c r="C14" s="40">
        <v>0</v>
      </c>
      <c r="D14" s="41">
        <v>0</v>
      </c>
      <c r="E14" s="42">
        <v>20000</v>
      </c>
      <c r="F14" s="41">
        <v>0</v>
      </c>
    </row>
    <row r="15" spans="1:6" ht="16.5">
      <c r="A15" s="44">
        <v>700</v>
      </c>
      <c r="B15" s="39" t="s">
        <v>8</v>
      </c>
      <c r="C15" s="40">
        <v>310000</v>
      </c>
      <c r="D15" s="41">
        <v>10000</v>
      </c>
      <c r="E15" s="42">
        <v>50000</v>
      </c>
      <c r="F15" s="41">
        <v>10000</v>
      </c>
    </row>
    <row r="16" spans="1:6" ht="16.5">
      <c r="A16" s="44">
        <v>710</v>
      </c>
      <c r="B16" s="39" t="s">
        <v>9</v>
      </c>
      <c r="C16" s="40">
        <v>788000</v>
      </c>
      <c r="D16" s="41">
        <v>338000</v>
      </c>
      <c r="E16" s="42">
        <v>898500</v>
      </c>
      <c r="F16" s="41">
        <v>338000</v>
      </c>
    </row>
    <row r="17" spans="1:6" ht="16.5">
      <c r="A17" s="44">
        <v>750</v>
      </c>
      <c r="B17" s="39" t="s">
        <v>26</v>
      </c>
      <c r="C17" s="40">
        <v>338000</v>
      </c>
      <c r="D17" s="41">
        <v>126200</v>
      </c>
      <c r="E17" s="42">
        <v>5100222</v>
      </c>
      <c r="F17" s="41">
        <v>126200</v>
      </c>
    </row>
    <row r="18" spans="1:6" ht="16.5">
      <c r="A18" s="44">
        <v>754</v>
      </c>
      <c r="B18" s="39" t="s">
        <v>10</v>
      </c>
      <c r="C18" s="40">
        <v>2897010</v>
      </c>
      <c r="D18" s="41">
        <v>2897000</v>
      </c>
      <c r="E18" s="42">
        <v>2967000</v>
      </c>
      <c r="F18" s="41">
        <v>2897000</v>
      </c>
    </row>
    <row r="19" spans="1:6" ht="55.5" customHeight="1">
      <c r="A19" s="44">
        <v>756</v>
      </c>
      <c r="B19" s="45" t="s">
        <v>24</v>
      </c>
      <c r="C19" s="40">
        <v>4484905</v>
      </c>
      <c r="D19" s="41">
        <v>0</v>
      </c>
      <c r="E19" s="42">
        <v>0</v>
      </c>
      <c r="F19" s="41">
        <v>0</v>
      </c>
    </row>
    <row r="20" spans="1:6" ht="16.5">
      <c r="A20" s="44">
        <v>757</v>
      </c>
      <c r="B20" s="39" t="s">
        <v>11</v>
      </c>
      <c r="C20" s="40">
        <v>0</v>
      </c>
      <c r="D20" s="41">
        <v>0</v>
      </c>
      <c r="E20" s="42">
        <v>850000</v>
      </c>
      <c r="F20" s="41">
        <v>0</v>
      </c>
    </row>
    <row r="21" spans="1:6" ht="16.5">
      <c r="A21" s="44">
        <v>758</v>
      </c>
      <c r="B21" s="39" t="s">
        <v>12</v>
      </c>
      <c r="C21" s="40">
        <v>20260317</v>
      </c>
      <c r="D21" s="41">
        <v>0</v>
      </c>
      <c r="E21" s="42">
        <v>323342</v>
      </c>
      <c r="F21" s="41">
        <v>0</v>
      </c>
    </row>
    <row r="22" spans="1:6" ht="16.5">
      <c r="A22" s="44">
        <v>801</v>
      </c>
      <c r="B22" s="39" t="s">
        <v>247</v>
      </c>
      <c r="C22" s="46">
        <v>606700</v>
      </c>
      <c r="D22" s="43">
        <v>0</v>
      </c>
      <c r="E22" s="42">
        <v>10926366</v>
      </c>
      <c r="F22" s="43">
        <v>0</v>
      </c>
    </row>
    <row r="23" spans="1:6" ht="16.5">
      <c r="A23" s="44">
        <v>851</v>
      </c>
      <c r="B23" s="39" t="s">
        <v>13</v>
      </c>
      <c r="C23" s="47">
        <v>1672000</v>
      </c>
      <c r="D23" s="48">
        <v>1672000</v>
      </c>
      <c r="E23" s="49">
        <v>1960556</v>
      </c>
      <c r="F23" s="48">
        <v>1672000</v>
      </c>
    </row>
    <row r="24" spans="1:6" ht="16.5">
      <c r="A24" s="44">
        <v>852</v>
      </c>
      <c r="B24" s="39" t="s">
        <v>17</v>
      </c>
      <c r="C24" s="47">
        <v>3250314</v>
      </c>
      <c r="D24" s="48">
        <v>7500</v>
      </c>
      <c r="E24" s="49">
        <v>6101098</v>
      </c>
      <c r="F24" s="48">
        <v>7500</v>
      </c>
    </row>
    <row r="25" spans="1:6" ht="16.5">
      <c r="A25" s="44">
        <v>853</v>
      </c>
      <c r="B25" s="39" t="s">
        <v>18</v>
      </c>
      <c r="C25" s="40">
        <v>2972730</v>
      </c>
      <c r="D25" s="41">
        <v>59000</v>
      </c>
      <c r="E25" s="42">
        <v>3870887</v>
      </c>
      <c r="F25" s="41">
        <v>59000</v>
      </c>
    </row>
    <row r="26" spans="1:6" ht="16.5">
      <c r="A26" s="50">
        <v>854</v>
      </c>
      <c r="B26" s="51" t="s">
        <v>14</v>
      </c>
      <c r="C26" s="40">
        <v>334100</v>
      </c>
      <c r="D26" s="41">
        <v>0</v>
      </c>
      <c r="E26" s="42">
        <v>2807338</v>
      </c>
      <c r="F26" s="41">
        <v>0</v>
      </c>
    </row>
    <row r="27" spans="1:6" ht="16.5">
      <c r="A27" s="50">
        <v>900</v>
      </c>
      <c r="B27" s="51" t="s">
        <v>300</v>
      </c>
      <c r="C27" s="40">
        <v>79500</v>
      </c>
      <c r="D27" s="41">
        <v>0</v>
      </c>
      <c r="E27" s="42">
        <v>79500</v>
      </c>
      <c r="F27" s="41">
        <v>0</v>
      </c>
    </row>
    <row r="28" spans="1:6" ht="16.5">
      <c r="A28" s="50">
        <v>921</v>
      </c>
      <c r="B28" s="51" t="s">
        <v>25</v>
      </c>
      <c r="C28" s="40">
        <v>0</v>
      </c>
      <c r="D28" s="41">
        <v>0</v>
      </c>
      <c r="E28" s="42">
        <v>65000</v>
      </c>
      <c r="F28" s="41">
        <v>0</v>
      </c>
    </row>
    <row r="29" spans="1:6" ht="17.25" thickBot="1">
      <c r="A29" s="50">
        <v>926</v>
      </c>
      <c r="B29" s="51" t="s">
        <v>312</v>
      </c>
      <c r="C29" s="40">
        <v>0</v>
      </c>
      <c r="D29" s="41">
        <v>0</v>
      </c>
      <c r="E29" s="42">
        <v>95000</v>
      </c>
      <c r="F29" s="41">
        <v>0</v>
      </c>
    </row>
    <row r="30" spans="1:6" ht="18.75" thickBot="1">
      <c r="A30" s="52"/>
      <c r="B30" s="53" t="s">
        <v>15</v>
      </c>
      <c r="C30" s="263">
        <f>SUM(C11:C29)</f>
        <v>38109776</v>
      </c>
      <c r="D30" s="263">
        <f>SUM(D11:D29)</f>
        <v>5189700</v>
      </c>
      <c r="E30" s="263">
        <f>SUM(E11:E29)</f>
        <v>38824809</v>
      </c>
      <c r="F30" s="263">
        <f>SUM(F11:F29)</f>
        <v>5189700</v>
      </c>
    </row>
    <row r="31" spans="1:6" ht="18">
      <c r="A31" s="54"/>
      <c r="B31" s="55" t="s">
        <v>281</v>
      </c>
      <c r="C31" s="338">
        <f>C30-E30</f>
        <v>-715033</v>
      </c>
      <c r="D31" s="56"/>
      <c r="E31" s="56"/>
      <c r="F31" s="57"/>
    </row>
    <row r="32" spans="1:6" ht="15">
      <c r="A32" s="8"/>
      <c r="B32" s="9"/>
      <c r="C32" s="6"/>
      <c r="D32" s="6"/>
      <c r="E32" s="6"/>
      <c r="F32" s="6"/>
    </row>
    <row r="33" spans="1:6" ht="15">
      <c r="A33" s="8"/>
      <c r="B33" s="9"/>
      <c r="C33" s="6"/>
      <c r="D33" s="6"/>
      <c r="E33" s="6"/>
      <c r="F33" s="6"/>
    </row>
    <row r="34" spans="1:6" ht="15">
      <c r="A34" s="8"/>
      <c r="B34" s="9"/>
      <c r="C34" s="6"/>
      <c r="D34" s="6"/>
      <c r="E34" s="6"/>
      <c r="F34" s="6"/>
    </row>
    <row r="35" spans="1:6" ht="15">
      <c r="A35" s="8"/>
      <c r="B35" s="9"/>
      <c r="C35" s="6"/>
      <c r="D35" s="6"/>
      <c r="E35" s="6"/>
      <c r="F35" s="6"/>
    </row>
    <row r="36" spans="1:6" ht="14.25">
      <c r="A36" s="3"/>
      <c r="B36" s="6"/>
      <c r="C36" s="6"/>
      <c r="D36" s="6"/>
      <c r="E36" s="6"/>
      <c r="F36" s="6"/>
    </row>
    <row r="37" spans="1:6" ht="14.25">
      <c r="A37" s="3"/>
      <c r="B37" s="6"/>
      <c r="C37" s="6"/>
      <c r="D37" s="6"/>
      <c r="E37" s="6"/>
      <c r="F37" s="6"/>
    </row>
    <row r="38" spans="1:6" ht="14.25">
      <c r="A38" s="3"/>
      <c r="B38" s="5"/>
      <c r="C38" s="6"/>
      <c r="D38" s="6"/>
      <c r="E38" s="6"/>
      <c r="F38" s="6"/>
    </row>
    <row r="39" spans="1:6" ht="14.25">
      <c r="A39" s="3"/>
      <c r="B39" s="5"/>
      <c r="C39" s="6"/>
      <c r="D39" s="6"/>
      <c r="E39" s="6"/>
      <c r="F39" s="6"/>
    </row>
    <row r="40" spans="1:6" ht="14.25">
      <c r="A40" s="3"/>
      <c r="B40" s="5"/>
      <c r="C40" s="6"/>
      <c r="D40" s="6"/>
      <c r="E40" s="6"/>
      <c r="F40" s="6"/>
    </row>
    <row r="41" spans="1:6" ht="14.25">
      <c r="A41" s="3"/>
      <c r="B41" s="5"/>
      <c r="C41" s="6"/>
      <c r="D41" s="6"/>
      <c r="E41" s="6"/>
      <c r="F41" s="6"/>
    </row>
    <row r="42" spans="1:6" ht="14.25">
      <c r="A42" s="3"/>
      <c r="B42" s="5"/>
      <c r="C42" s="6"/>
      <c r="D42" s="6"/>
      <c r="E42" s="6"/>
      <c r="F42" s="6"/>
    </row>
    <row r="43" spans="1:6" ht="14.25">
      <c r="A43" s="3"/>
      <c r="B43" s="12"/>
      <c r="C43" s="6"/>
      <c r="D43" s="6"/>
      <c r="E43" s="6"/>
      <c r="F43" s="6"/>
    </row>
    <row r="44" spans="1:6" ht="14.25">
      <c r="A44" s="3"/>
      <c r="B44" s="12"/>
      <c r="C44" s="6"/>
      <c r="D44" s="6"/>
      <c r="E44" s="6"/>
      <c r="F44" s="6"/>
    </row>
    <row r="45" spans="1:6" ht="14.25">
      <c r="A45" s="3"/>
      <c r="B45" s="5"/>
      <c r="C45" s="6"/>
      <c r="D45" s="6"/>
      <c r="E45" s="6"/>
      <c r="F45" s="6"/>
    </row>
    <row r="46" spans="1:6" ht="14.25">
      <c r="A46" s="3"/>
      <c r="B46" s="5"/>
      <c r="C46" s="6"/>
      <c r="D46" s="6"/>
      <c r="E46" s="6"/>
      <c r="F46" s="6"/>
    </row>
    <row r="47" spans="1:6" ht="14.25">
      <c r="A47" s="3"/>
      <c r="B47" s="5"/>
      <c r="C47" s="6"/>
      <c r="D47" s="6"/>
      <c r="E47" s="6"/>
      <c r="F47" s="6"/>
    </row>
    <row r="48" spans="1:6" ht="14.25">
      <c r="A48" s="3"/>
      <c r="B48" s="5"/>
      <c r="C48" s="6"/>
      <c r="D48" s="6"/>
      <c r="E48" s="6"/>
      <c r="F48" s="6"/>
    </row>
    <row r="49" spans="1:6" ht="14.25">
      <c r="A49" s="3"/>
      <c r="B49" s="5"/>
      <c r="C49" s="6"/>
      <c r="D49" s="6"/>
      <c r="E49" s="6"/>
      <c r="F49" s="6"/>
    </row>
    <row r="50" spans="1:6" ht="14.25">
      <c r="A50" s="3"/>
      <c r="B50" s="5"/>
      <c r="C50" s="6"/>
      <c r="D50" s="6"/>
      <c r="E50" s="6"/>
      <c r="F50" s="6"/>
    </row>
    <row r="51" spans="1:6" ht="15">
      <c r="A51" s="3"/>
      <c r="B51" s="5"/>
      <c r="C51" s="7"/>
      <c r="D51" s="6"/>
      <c r="E51" s="6"/>
      <c r="F51" s="6"/>
    </row>
    <row r="52" spans="1:6" ht="15">
      <c r="A52" s="5"/>
      <c r="B52" s="4"/>
      <c r="C52" s="7"/>
      <c r="D52" s="7"/>
      <c r="E52" s="7"/>
      <c r="F52" s="7"/>
    </row>
    <row r="53" spans="1:6" ht="12.75">
      <c r="A53" s="1"/>
      <c r="B53" s="1"/>
      <c r="C53" s="2"/>
      <c r="D53" s="2"/>
      <c r="E53" s="2"/>
      <c r="F53" s="2"/>
    </row>
  </sheetData>
  <sheetProtection/>
  <mergeCells count="6">
    <mergeCell ref="A6:F6"/>
    <mergeCell ref="A7:F7"/>
    <mergeCell ref="E9:F9"/>
    <mergeCell ref="A9:A10"/>
    <mergeCell ref="B9:B10"/>
    <mergeCell ref="C9:D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:D4"/>
    </sheetView>
  </sheetViews>
  <sheetFormatPr defaultColWidth="9.00390625" defaultRowHeight="12.75"/>
  <cols>
    <col min="1" max="1" width="5.125" style="0" customWidth="1"/>
    <col min="2" max="2" width="59.75390625" style="0" bestFit="1" customWidth="1"/>
    <col min="3" max="3" width="13.75390625" style="0" bestFit="1" customWidth="1"/>
    <col min="4" max="4" width="25.375" style="0" bestFit="1" customWidth="1"/>
  </cols>
  <sheetData>
    <row r="1" spans="1:4" ht="15.75">
      <c r="A1" s="27"/>
      <c r="B1" s="27"/>
      <c r="D1" s="111" t="s">
        <v>268</v>
      </c>
    </row>
    <row r="2" spans="1:4" ht="15.75">
      <c r="A2" s="27"/>
      <c r="B2" s="27"/>
      <c r="D2" s="29" t="s">
        <v>323</v>
      </c>
    </row>
    <row r="3" spans="1:4" ht="15.75">
      <c r="A3" s="27"/>
      <c r="B3" s="27"/>
      <c r="D3" s="29" t="s">
        <v>21</v>
      </c>
    </row>
    <row r="4" spans="1:4" ht="15.75">
      <c r="A4" s="27"/>
      <c r="B4" s="27"/>
      <c r="D4" s="30" t="s">
        <v>324</v>
      </c>
    </row>
    <row r="5" spans="1:4" ht="15">
      <c r="A5" s="27"/>
      <c r="B5" s="27"/>
      <c r="C5" s="27"/>
      <c r="D5" s="27"/>
    </row>
    <row r="6" spans="1:4" ht="15">
      <c r="A6" s="27"/>
      <c r="B6" s="27"/>
      <c r="C6" s="27"/>
      <c r="D6" s="27"/>
    </row>
    <row r="7" spans="1:4" ht="15">
      <c r="A7" s="27"/>
      <c r="B7" s="27"/>
      <c r="C7" s="27"/>
      <c r="D7" s="27"/>
    </row>
    <row r="8" spans="1:4" ht="15.75" customHeight="1">
      <c r="A8" s="27"/>
      <c r="B8" s="27"/>
      <c r="C8" s="27"/>
      <c r="D8" s="27"/>
    </row>
    <row r="9" spans="1:5" ht="18" customHeight="1">
      <c r="A9" s="637" t="s">
        <v>232</v>
      </c>
      <c r="B9" s="643"/>
      <c r="C9" s="643"/>
      <c r="D9" s="643"/>
      <c r="E9" s="644"/>
    </row>
    <row r="10" spans="1:5" ht="18.75" customHeight="1">
      <c r="A10" s="637" t="s">
        <v>233</v>
      </c>
      <c r="B10" s="643"/>
      <c r="C10" s="643"/>
      <c r="D10" s="643"/>
      <c r="E10" s="644"/>
    </row>
    <row r="11" spans="1:5" ht="19.5">
      <c r="A11" s="637" t="s">
        <v>293</v>
      </c>
      <c r="B11" s="643"/>
      <c r="C11" s="643"/>
      <c r="D11" s="643"/>
      <c r="E11" s="644"/>
    </row>
    <row r="12" spans="1:4" ht="15">
      <c r="A12" s="27"/>
      <c r="B12" s="27"/>
      <c r="C12" s="27"/>
      <c r="D12" s="27"/>
    </row>
    <row r="13" spans="1:4" ht="15" customHeight="1" thickBot="1">
      <c r="A13" s="323"/>
      <c r="B13" s="323"/>
      <c r="C13" s="323"/>
      <c r="D13" s="181" t="s">
        <v>31</v>
      </c>
    </row>
    <row r="14" spans="1:4" ht="36">
      <c r="A14" s="324" t="s">
        <v>234</v>
      </c>
      <c r="B14" s="325" t="s">
        <v>235</v>
      </c>
      <c r="C14" s="326" t="s">
        <v>236</v>
      </c>
      <c r="D14" s="327" t="s">
        <v>223</v>
      </c>
    </row>
    <row r="15" spans="1:4" ht="18" customHeight="1">
      <c r="A15" s="328"/>
      <c r="B15" s="329" t="s">
        <v>237</v>
      </c>
      <c r="C15" s="330" t="s">
        <v>238</v>
      </c>
      <c r="D15" s="331">
        <f>D16</f>
        <v>2000000</v>
      </c>
    </row>
    <row r="16" spans="1:4" ht="17.25" customHeight="1">
      <c r="A16" s="332">
        <v>1</v>
      </c>
      <c r="B16" s="322" t="s">
        <v>316</v>
      </c>
      <c r="C16" s="333">
        <v>931</v>
      </c>
      <c r="D16" s="321">
        <v>2000000</v>
      </c>
    </row>
    <row r="17" spans="1:4" ht="18" customHeight="1">
      <c r="A17" s="328"/>
      <c r="B17" s="329" t="s">
        <v>239</v>
      </c>
      <c r="C17" s="334" t="s">
        <v>238</v>
      </c>
      <c r="D17" s="331">
        <f>D18+D19</f>
        <v>1284967</v>
      </c>
    </row>
    <row r="18" spans="1:4" ht="18" customHeight="1">
      <c r="A18" s="332">
        <v>1</v>
      </c>
      <c r="B18" s="335" t="s">
        <v>315</v>
      </c>
      <c r="C18" s="336">
        <v>992</v>
      </c>
      <c r="D18" s="321">
        <v>174967</v>
      </c>
    </row>
    <row r="19" spans="1:4" ht="21" customHeight="1">
      <c r="A19" s="332">
        <v>2</v>
      </c>
      <c r="B19" s="322" t="s">
        <v>249</v>
      </c>
      <c r="C19" s="336">
        <v>982</v>
      </c>
      <c r="D19" s="321">
        <v>1110000</v>
      </c>
    </row>
    <row r="20" spans="1:4" ht="18.75" thickBot="1">
      <c r="A20" s="645" t="s">
        <v>240</v>
      </c>
      <c r="B20" s="646"/>
      <c r="C20" s="647"/>
      <c r="D20" s="337">
        <f>SUM(D15-D17)</f>
        <v>715033</v>
      </c>
    </row>
  </sheetData>
  <sheetProtection/>
  <mergeCells count="4">
    <mergeCell ref="A10:E10"/>
    <mergeCell ref="A11:E11"/>
    <mergeCell ref="A20:C20"/>
    <mergeCell ref="A9:E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99">
      <selection activeCell="A118" sqref="A118:IV118"/>
    </sheetView>
  </sheetViews>
  <sheetFormatPr defaultColWidth="9.00390625" defaultRowHeight="12.75"/>
  <cols>
    <col min="1" max="1" width="9.25390625" style="0" bestFit="1" customWidth="1"/>
    <col min="2" max="2" width="9.375" style="0" bestFit="1" customWidth="1"/>
    <col min="4" max="4" width="49.875" style="0" bestFit="1" customWidth="1"/>
    <col min="5" max="5" width="13.00390625" style="0" bestFit="1" customWidth="1"/>
    <col min="6" max="6" width="12.125" style="0" customWidth="1"/>
    <col min="7" max="7" width="13.00390625" style="0" bestFit="1" customWidth="1"/>
    <col min="8" max="8" width="11.875" style="0" bestFit="1" customWidth="1"/>
    <col min="9" max="9" width="11.25390625" style="0" customWidth="1"/>
    <col min="10" max="10" width="10.125" style="0" customWidth="1"/>
    <col min="11" max="11" width="9.875" style="0" bestFit="1" customWidth="1"/>
    <col min="12" max="12" width="10.625" style="0" customWidth="1"/>
    <col min="13" max="13" width="11.75390625" style="0" customWidth="1"/>
    <col min="14" max="14" width="9.125" style="15" customWidth="1"/>
  </cols>
  <sheetData>
    <row r="1" spans="1:11" ht="15">
      <c r="A1" s="13"/>
      <c r="B1" s="14"/>
      <c r="C1" s="14"/>
      <c r="D1" s="14"/>
      <c r="E1" s="14"/>
      <c r="F1" s="14"/>
      <c r="G1" s="14"/>
      <c r="I1" s="14"/>
      <c r="J1" s="15"/>
      <c r="K1" s="58" t="s">
        <v>27</v>
      </c>
    </row>
    <row r="2" spans="1:11" ht="15">
      <c r="A2" s="14"/>
      <c r="B2" s="14"/>
      <c r="C2" s="14"/>
      <c r="D2" s="14"/>
      <c r="E2" s="14"/>
      <c r="F2" s="14"/>
      <c r="G2" s="14"/>
      <c r="I2" s="14"/>
      <c r="J2" s="15"/>
      <c r="K2" s="29" t="s">
        <v>323</v>
      </c>
    </row>
    <row r="3" spans="1:11" ht="15">
      <c r="A3" s="14"/>
      <c r="B3" s="14"/>
      <c r="C3" s="14"/>
      <c r="D3" s="14"/>
      <c r="E3" s="14"/>
      <c r="F3" s="14"/>
      <c r="G3" s="14"/>
      <c r="I3" s="14"/>
      <c r="J3" s="15"/>
      <c r="K3" s="29" t="s">
        <v>21</v>
      </c>
    </row>
    <row r="4" spans="1:11" ht="15">
      <c r="A4" s="14"/>
      <c r="B4" s="14"/>
      <c r="C4" s="14"/>
      <c r="D4" s="14"/>
      <c r="E4" s="14"/>
      <c r="F4" s="14"/>
      <c r="G4" s="13"/>
      <c r="I4" s="14"/>
      <c r="J4" s="15"/>
      <c r="K4" s="30" t="s">
        <v>324</v>
      </c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5"/>
    </row>
    <row r="6" spans="1:13" ht="18" customHeight="1">
      <c r="A6" s="486" t="s">
        <v>28</v>
      </c>
      <c r="B6" s="487"/>
      <c r="C6" s="487"/>
      <c r="D6" s="487"/>
      <c r="E6" s="487"/>
      <c r="F6" s="487"/>
      <c r="G6" s="487"/>
      <c r="H6" s="487"/>
      <c r="I6" s="487"/>
      <c r="J6" s="488"/>
      <c r="K6" s="488"/>
      <c r="L6" s="488"/>
      <c r="M6" s="488"/>
    </row>
    <row r="7" spans="1:13" ht="15.75" customHeight="1">
      <c r="A7" s="486" t="s">
        <v>285</v>
      </c>
      <c r="B7" s="487"/>
      <c r="C7" s="487"/>
      <c r="D7" s="487"/>
      <c r="E7" s="487"/>
      <c r="F7" s="487"/>
      <c r="G7" s="487"/>
      <c r="H7" s="487"/>
      <c r="I7" s="487"/>
      <c r="J7" s="488"/>
      <c r="K7" s="488"/>
      <c r="L7" s="488"/>
      <c r="M7" s="488"/>
    </row>
    <row r="8" spans="1:13" ht="15.75" customHeight="1">
      <c r="A8" s="486" t="s">
        <v>29</v>
      </c>
      <c r="B8" s="487"/>
      <c r="C8" s="487"/>
      <c r="D8" s="487"/>
      <c r="E8" s="487"/>
      <c r="F8" s="487"/>
      <c r="G8" s="487"/>
      <c r="H8" s="487"/>
      <c r="I8" s="487"/>
      <c r="J8" s="488"/>
      <c r="K8" s="488"/>
      <c r="L8" s="488"/>
      <c r="M8" s="488"/>
    </row>
    <row r="9" spans="1:13" ht="18" customHeight="1">
      <c r="A9" s="486" t="s">
        <v>30</v>
      </c>
      <c r="B9" s="487"/>
      <c r="C9" s="487"/>
      <c r="D9" s="487"/>
      <c r="E9" s="487"/>
      <c r="F9" s="487"/>
      <c r="G9" s="487"/>
      <c r="H9" s="487"/>
      <c r="I9" s="487"/>
      <c r="J9" s="488"/>
      <c r="K9" s="488"/>
      <c r="L9" s="488"/>
      <c r="M9" s="488"/>
    </row>
    <row r="10" spans="1:13" ht="13.5" thickBot="1">
      <c r="A10" s="14"/>
      <c r="B10" s="14"/>
      <c r="C10" s="14"/>
      <c r="D10" s="14"/>
      <c r="E10" s="14"/>
      <c r="F10" s="14"/>
      <c r="G10" s="14"/>
      <c r="H10" s="14"/>
      <c r="I10" s="14"/>
      <c r="J10" s="15"/>
      <c r="M10" s="16" t="s">
        <v>31</v>
      </c>
    </row>
    <row r="11" spans="1:13" ht="15.75" customHeight="1">
      <c r="A11" s="477" t="s">
        <v>32</v>
      </c>
      <c r="B11" s="480" t="s">
        <v>33</v>
      </c>
      <c r="C11" s="480" t="s">
        <v>34</v>
      </c>
      <c r="D11" s="480" t="s">
        <v>35</v>
      </c>
      <c r="E11" s="489" t="s">
        <v>15</v>
      </c>
      <c r="F11" s="492" t="s">
        <v>36</v>
      </c>
      <c r="G11" s="493"/>
      <c r="H11" s="493"/>
      <c r="I11" s="493"/>
      <c r="J11" s="493"/>
      <c r="K11" s="493"/>
      <c r="L11" s="493"/>
      <c r="M11" s="494"/>
    </row>
    <row r="12" spans="1:13" ht="16.5" customHeight="1">
      <c r="A12" s="478"/>
      <c r="B12" s="481"/>
      <c r="C12" s="481"/>
      <c r="D12" s="481"/>
      <c r="E12" s="490"/>
      <c r="F12" s="495" t="s">
        <v>37</v>
      </c>
      <c r="G12" s="474" t="s">
        <v>38</v>
      </c>
      <c r="H12" s="475"/>
      <c r="I12" s="497"/>
      <c r="J12" s="495" t="s">
        <v>39</v>
      </c>
      <c r="K12" s="474" t="s">
        <v>38</v>
      </c>
      <c r="L12" s="475"/>
      <c r="M12" s="476"/>
    </row>
    <row r="13" spans="1:13" ht="127.5">
      <c r="A13" s="479"/>
      <c r="B13" s="482"/>
      <c r="C13" s="482"/>
      <c r="D13" s="482"/>
      <c r="E13" s="491"/>
      <c r="F13" s="496"/>
      <c r="G13" s="61" t="s">
        <v>40</v>
      </c>
      <c r="H13" s="61" t="s">
        <v>41</v>
      </c>
      <c r="I13" s="61" t="s">
        <v>42</v>
      </c>
      <c r="J13" s="496"/>
      <c r="K13" s="61" t="s">
        <v>40</v>
      </c>
      <c r="L13" s="61" t="s">
        <v>41</v>
      </c>
      <c r="M13" s="343" t="s">
        <v>42</v>
      </c>
    </row>
    <row r="14" spans="1:13" ht="13.5" thickBot="1">
      <c r="A14" s="344">
        <v>1</v>
      </c>
      <c r="B14" s="62">
        <v>2</v>
      </c>
      <c r="C14" s="62">
        <v>3</v>
      </c>
      <c r="D14" s="62">
        <v>4</v>
      </c>
      <c r="E14" s="63">
        <v>5</v>
      </c>
      <c r="F14" s="64">
        <v>6</v>
      </c>
      <c r="G14" s="65">
        <v>7</v>
      </c>
      <c r="H14" s="65">
        <v>8</v>
      </c>
      <c r="I14" s="65">
        <v>9</v>
      </c>
      <c r="J14" s="64">
        <v>10</v>
      </c>
      <c r="K14" s="65">
        <v>11</v>
      </c>
      <c r="L14" s="65">
        <v>12</v>
      </c>
      <c r="M14" s="345">
        <v>13</v>
      </c>
    </row>
    <row r="15" spans="1:13" ht="18" thickBot="1" thickTop="1">
      <c r="A15" s="346" t="s">
        <v>43</v>
      </c>
      <c r="B15" s="66"/>
      <c r="C15" s="67"/>
      <c r="D15" s="67" t="s">
        <v>5</v>
      </c>
      <c r="E15" s="68">
        <f>SUM(E16)</f>
        <v>80000</v>
      </c>
      <c r="F15" s="69">
        <f aca="true" t="shared" si="0" ref="F15:M15">SUM(F16)</f>
        <v>80000</v>
      </c>
      <c r="G15" s="68">
        <f t="shared" si="0"/>
        <v>0</v>
      </c>
      <c r="H15" s="68">
        <f t="shared" si="0"/>
        <v>80000</v>
      </c>
      <c r="I15" s="68">
        <f t="shared" si="0"/>
        <v>0</v>
      </c>
      <c r="J15" s="69">
        <f t="shared" si="0"/>
        <v>0</v>
      </c>
      <c r="K15" s="68">
        <f t="shared" si="0"/>
        <v>0</v>
      </c>
      <c r="L15" s="68">
        <f t="shared" si="0"/>
        <v>0</v>
      </c>
      <c r="M15" s="347">
        <f t="shared" si="0"/>
        <v>0</v>
      </c>
    </row>
    <row r="16" spans="1:13" ht="24.75" customHeight="1" thickTop="1">
      <c r="A16" s="348"/>
      <c r="B16" s="70" t="s">
        <v>44</v>
      </c>
      <c r="C16" s="71"/>
      <c r="D16" s="72" t="s">
        <v>45</v>
      </c>
      <c r="E16" s="73">
        <f>SUM(J16+F16)</f>
        <v>80000</v>
      </c>
      <c r="F16" s="74">
        <f>SUM(G16:I16)</f>
        <v>80000</v>
      </c>
      <c r="G16" s="73">
        <f>G17</f>
        <v>0</v>
      </c>
      <c r="H16" s="73">
        <f>H17</f>
        <v>80000</v>
      </c>
      <c r="I16" s="73">
        <f>I17</f>
        <v>0</v>
      </c>
      <c r="J16" s="74">
        <f>SUM(K16:M16)</f>
        <v>0</v>
      </c>
      <c r="K16" s="73">
        <f>K17</f>
        <v>0</v>
      </c>
      <c r="L16" s="73">
        <f>L17</f>
        <v>0</v>
      </c>
      <c r="M16" s="349">
        <f>M17</f>
        <v>0</v>
      </c>
    </row>
    <row r="17" spans="1:13" ht="57" customHeight="1" thickBot="1">
      <c r="A17" s="350"/>
      <c r="B17" s="76"/>
      <c r="C17" s="76">
        <v>2110</v>
      </c>
      <c r="D17" s="77" t="s">
        <v>46</v>
      </c>
      <c r="E17" s="73">
        <f>SUM(J17+F17)</f>
        <v>80000</v>
      </c>
      <c r="F17" s="74">
        <f>SUM(G17:I17)</f>
        <v>80000</v>
      </c>
      <c r="G17" s="78">
        <v>0</v>
      </c>
      <c r="H17" s="78">
        <v>80000</v>
      </c>
      <c r="I17" s="78">
        <v>0</v>
      </c>
      <c r="J17" s="74">
        <f>SUM(K17:M17)</f>
        <v>0</v>
      </c>
      <c r="K17" s="78">
        <v>0</v>
      </c>
      <c r="L17" s="78">
        <v>0</v>
      </c>
      <c r="M17" s="351">
        <v>0</v>
      </c>
    </row>
    <row r="18" spans="1:13" ht="18" thickBot="1" thickTop="1">
      <c r="A18" s="352" t="s">
        <v>23</v>
      </c>
      <c r="B18" s="79"/>
      <c r="C18" s="80"/>
      <c r="D18" s="81" t="s">
        <v>6</v>
      </c>
      <c r="E18" s="68">
        <f>SUM(E19)</f>
        <v>20000</v>
      </c>
      <c r="F18" s="69">
        <f aca="true" t="shared" si="1" ref="F18:M18">SUM(F19)</f>
        <v>20000</v>
      </c>
      <c r="G18" s="68">
        <f t="shared" si="1"/>
        <v>20000</v>
      </c>
      <c r="H18" s="68">
        <f t="shared" si="1"/>
        <v>0</v>
      </c>
      <c r="I18" s="68">
        <f t="shared" si="1"/>
        <v>0</v>
      </c>
      <c r="J18" s="69">
        <f t="shared" si="1"/>
        <v>0</v>
      </c>
      <c r="K18" s="68">
        <f t="shared" si="1"/>
        <v>0</v>
      </c>
      <c r="L18" s="68">
        <f t="shared" si="1"/>
        <v>0</v>
      </c>
      <c r="M18" s="347">
        <f t="shared" si="1"/>
        <v>0</v>
      </c>
    </row>
    <row r="19" spans="1:13" ht="15.75" thickTop="1">
      <c r="A19" s="353"/>
      <c r="B19" s="82" t="s">
        <v>136</v>
      </c>
      <c r="C19" s="83"/>
      <c r="D19" s="72" t="s">
        <v>137</v>
      </c>
      <c r="E19" s="73">
        <f>SUM(J19+F19)</f>
        <v>20000</v>
      </c>
      <c r="F19" s="74">
        <f>SUM(G19:I19)</f>
        <v>20000</v>
      </c>
      <c r="G19" s="73">
        <f>G20</f>
        <v>20000</v>
      </c>
      <c r="H19" s="73">
        <f>H20</f>
        <v>0</v>
      </c>
      <c r="I19" s="73">
        <f>I20</f>
        <v>0</v>
      </c>
      <c r="J19" s="74">
        <f>SUM(K19:M19)</f>
        <v>0</v>
      </c>
      <c r="K19" s="73">
        <f>K20</f>
        <v>0</v>
      </c>
      <c r="L19" s="73">
        <f>L20</f>
        <v>0</v>
      </c>
      <c r="M19" s="349">
        <f>M20</f>
        <v>0</v>
      </c>
    </row>
    <row r="20" spans="1:13" ht="69" customHeight="1" thickBot="1">
      <c r="A20" s="354"/>
      <c r="B20" s="84"/>
      <c r="C20" s="84" t="s">
        <v>47</v>
      </c>
      <c r="D20" s="85" t="s">
        <v>48</v>
      </c>
      <c r="E20" s="73">
        <f>SUM(J20+F20)</f>
        <v>20000</v>
      </c>
      <c r="F20" s="74">
        <f>SUM(G20:I20)</f>
        <v>20000</v>
      </c>
      <c r="G20" s="78">
        <v>20000</v>
      </c>
      <c r="H20" s="78">
        <v>0</v>
      </c>
      <c r="I20" s="78">
        <v>0</v>
      </c>
      <c r="J20" s="74">
        <f>SUM(K20:M20)</f>
        <v>0</v>
      </c>
      <c r="K20" s="78">
        <v>0</v>
      </c>
      <c r="L20" s="78">
        <v>0</v>
      </c>
      <c r="M20" s="351">
        <v>0</v>
      </c>
    </row>
    <row r="21" spans="1:13" ht="18" thickBot="1" thickTop="1">
      <c r="A21" s="355">
        <v>600</v>
      </c>
      <c r="B21" s="86"/>
      <c r="C21" s="86"/>
      <c r="D21" s="81" t="s">
        <v>7</v>
      </c>
      <c r="E21" s="68">
        <f>SUM(E22)</f>
        <v>16200</v>
      </c>
      <c r="F21" s="69">
        <f aca="true" t="shared" si="2" ref="F21:M21">SUM(F22)</f>
        <v>16200</v>
      </c>
      <c r="G21" s="68">
        <f t="shared" si="2"/>
        <v>16200</v>
      </c>
      <c r="H21" s="68">
        <f t="shared" si="2"/>
        <v>0</v>
      </c>
      <c r="I21" s="68">
        <f t="shared" si="2"/>
        <v>0</v>
      </c>
      <c r="J21" s="69">
        <f t="shared" si="2"/>
        <v>0</v>
      </c>
      <c r="K21" s="68">
        <f t="shared" si="2"/>
        <v>0</v>
      </c>
      <c r="L21" s="68">
        <f t="shared" si="2"/>
        <v>0</v>
      </c>
      <c r="M21" s="347">
        <f t="shared" si="2"/>
        <v>0</v>
      </c>
    </row>
    <row r="22" spans="1:13" ht="15.75" thickTop="1">
      <c r="A22" s="348"/>
      <c r="B22" s="70">
        <v>60014</v>
      </c>
      <c r="C22" s="70"/>
      <c r="D22" s="71" t="s">
        <v>219</v>
      </c>
      <c r="E22" s="73">
        <f>SUM(J22+F22)</f>
        <v>16200</v>
      </c>
      <c r="F22" s="74">
        <f>SUM(G22:I22)</f>
        <v>16200</v>
      </c>
      <c r="G22" s="73">
        <f>SUM(G23:G23)</f>
        <v>16200</v>
      </c>
      <c r="H22" s="73">
        <f>SUM(H23:H23)</f>
        <v>0</v>
      </c>
      <c r="I22" s="73">
        <f>SUM(I23:I23)</f>
        <v>0</v>
      </c>
      <c r="J22" s="74">
        <f>SUM(K22:M22)</f>
        <v>0</v>
      </c>
      <c r="K22" s="73">
        <f>SUM(K23:K23)</f>
        <v>0</v>
      </c>
      <c r="L22" s="73">
        <f>SUM(L23:L23)</f>
        <v>0</v>
      </c>
      <c r="M22" s="349">
        <f>SUM(M23:M23)</f>
        <v>0</v>
      </c>
    </row>
    <row r="23" spans="1:13" ht="30.75" thickBot="1">
      <c r="A23" s="348"/>
      <c r="B23" s="70"/>
      <c r="C23" s="82" t="s">
        <v>269</v>
      </c>
      <c r="D23" s="339" t="s">
        <v>270</v>
      </c>
      <c r="E23" s="73">
        <f>SUM(J23+F23)</f>
        <v>16200</v>
      </c>
      <c r="F23" s="74">
        <f>SUM(G23:I23)</f>
        <v>16200</v>
      </c>
      <c r="G23" s="78">
        <v>16200</v>
      </c>
      <c r="H23" s="78">
        <v>0</v>
      </c>
      <c r="I23" s="78">
        <v>0</v>
      </c>
      <c r="J23" s="74">
        <f>SUM(K23:M23)</f>
        <v>0</v>
      </c>
      <c r="K23" s="78"/>
      <c r="L23" s="78">
        <v>0</v>
      </c>
      <c r="M23" s="351">
        <v>0</v>
      </c>
    </row>
    <row r="24" spans="1:13" ht="18" thickBot="1" thickTop="1">
      <c r="A24" s="355">
        <v>700</v>
      </c>
      <c r="B24" s="86"/>
      <c r="C24" s="86"/>
      <c r="D24" s="81" t="s">
        <v>8</v>
      </c>
      <c r="E24" s="68">
        <f>SUM(E25)</f>
        <v>310000</v>
      </c>
      <c r="F24" s="69">
        <f aca="true" t="shared" si="3" ref="F24:M24">SUM(F25)</f>
        <v>10000</v>
      </c>
      <c r="G24" s="68">
        <f t="shared" si="3"/>
        <v>0</v>
      </c>
      <c r="H24" s="68">
        <f t="shared" si="3"/>
        <v>10000</v>
      </c>
      <c r="I24" s="68">
        <f t="shared" si="3"/>
        <v>0</v>
      </c>
      <c r="J24" s="69">
        <f t="shared" si="3"/>
        <v>300000</v>
      </c>
      <c r="K24" s="68">
        <f t="shared" si="3"/>
        <v>300000</v>
      </c>
      <c r="L24" s="68">
        <f t="shared" si="3"/>
        <v>0</v>
      </c>
      <c r="M24" s="347">
        <f t="shared" si="3"/>
        <v>0</v>
      </c>
    </row>
    <row r="25" spans="1:13" ht="15.75" thickTop="1">
      <c r="A25" s="348"/>
      <c r="B25" s="70">
        <v>70005</v>
      </c>
      <c r="C25" s="70"/>
      <c r="D25" s="71" t="s">
        <v>49</v>
      </c>
      <c r="E25" s="73">
        <f>SUM(J25+F25)</f>
        <v>310000</v>
      </c>
      <c r="F25" s="74">
        <f>SUM(G25:I25)</f>
        <v>10000</v>
      </c>
      <c r="G25" s="73">
        <f>G26+G27</f>
        <v>0</v>
      </c>
      <c r="H25" s="73">
        <f>H26+H27</f>
        <v>10000</v>
      </c>
      <c r="I25" s="73">
        <f>I27+I26</f>
        <v>0</v>
      </c>
      <c r="J25" s="74">
        <f>SUM(K25:M25)</f>
        <v>300000</v>
      </c>
      <c r="K25" s="73">
        <f>K26+K27</f>
        <v>300000</v>
      </c>
      <c r="L25" s="73">
        <f>L26+L27</f>
        <v>0</v>
      </c>
      <c r="M25" s="349">
        <f>M27+M26</f>
        <v>0</v>
      </c>
    </row>
    <row r="26" spans="1:13" ht="15">
      <c r="A26" s="356"/>
      <c r="B26" s="87"/>
      <c r="C26" s="87" t="s">
        <v>50</v>
      </c>
      <c r="D26" s="89" t="s">
        <v>51</v>
      </c>
      <c r="E26" s="73">
        <f>SUM(J26+F26)</f>
        <v>300000</v>
      </c>
      <c r="F26" s="74">
        <f>SUM(G26:I26)</f>
        <v>0</v>
      </c>
      <c r="G26" s="78">
        <v>0</v>
      </c>
      <c r="H26" s="78">
        <v>0</v>
      </c>
      <c r="I26" s="78">
        <v>0</v>
      </c>
      <c r="J26" s="74">
        <f>SUM(K26:M26)</f>
        <v>300000</v>
      </c>
      <c r="K26" s="78">
        <f>300000+100000-100000</f>
        <v>300000</v>
      </c>
      <c r="L26" s="78">
        <v>0</v>
      </c>
      <c r="M26" s="351">
        <v>0</v>
      </c>
    </row>
    <row r="27" spans="1:13" ht="45.75" thickBot="1">
      <c r="A27" s="357"/>
      <c r="B27" s="76"/>
      <c r="C27" s="76">
        <v>2110</v>
      </c>
      <c r="D27" s="90" t="s">
        <v>46</v>
      </c>
      <c r="E27" s="91">
        <f>SUM(J27+F27)</f>
        <v>10000</v>
      </c>
      <c r="F27" s="92">
        <f>SUM(G27:I27)</f>
        <v>10000</v>
      </c>
      <c r="G27" s="91">
        <v>0</v>
      </c>
      <c r="H27" s="91">
        <v>10000</v>
      </c>
      <c r="I27" s="91">
        <v>0</v>
      </c>
      <c r="J27" s="92">
        <f>SUM(K27:M27)</f>
        <v>0</v>
      </c>
      <c r="K27" s="91">
        <v>0</v>
      </c>
      <c r="L27" s="91">
        <v>0</v>
      </c>
      <c r="M27" s="358">
        <v>0</v>
      </c>
    </row>
    <row r="28" spans="1:13" ht="18" thickBot="1" thickTop="1">
      <c r="A28" s="355">
        <v>710</v>
      </c>
      <c r="B28" s="86"/>
      <c r="C28" s="86"/>
      <c r="D28" s="81" t="s">
        <v>9</v>
      </c>
      <c r="E28" s="68">
        <f>SUM(E31+E33+E35+E29)</f>
        <v>788000</v>
      </c>
      <c r="F28" s="69">
        <f>SUM(F31+F33+F35+F29)</f>
        <v>788000</v>
      </c>
      <c r="G28" s="68">
        <f>SUM(G31+G33+G35+G29)</f>
        <v>450000</v>
      </c>
      <c r="H28" s="68">
        <f>SUM(H31+H33+H35+H29)</f>
        <v>338000</v>
      </c>
      <c r="I28" s="68">
        <f>SUM(I31+I33+I35+I29)</f>
        <v>0</v>
      </c>
      <c r="J28" s="69">
        <f>SUM(J31+J33+J35)</f>
        <v>0</v>
      </c>
      <c r="K28" s="68">
        <f>SUM(K31+K33+K35)</f>
        <v>0</v>
      </c>
      <c r="L28" s="68">
        <f>SUM(L31+L33+L35)</f>
        <v>0</v>
      </c>
      <c r="M28" s="347">
        <f>M31+M33+M35</f>
        <v>0</v>
      </c>
    </row>
    <row r="29" spans="1:13" ht="15.75" thickTop="1">
      <c r="A29" s="348"/>
      <c r="B29" s="70">
        <v>71012</v>
      </c>
      <c r="C29" s="70"/>
      <c r="D29" s="153" t="s">
        <v>141</v>
      </c>
      <c r="E29" s="73">
        <f>SUM(J29+F29)</f>
        <v>450000</v>
      </c>
      <c r="F29" s="74">
        <f>SUM(G29:I29)</f>
        <v>450000</v>
      </c>
      <c r="G29" s="73">
        <f>G30</f>
        <v>450000</v>
      </c>
      <c r="H29" s="73">
        <f>H30</f>
        <v>0</v>
      </c>
      <c r="I29" s="73">
        <f>I30</f>
        <v>0</v>
      </c>
      <c r="J29" s="74">
        <f aca="true" t="shared" si="4" ref="J29:J34">SUM(K29:M29)</f>
        <v>0</v>
      </c>
      <c r="K29" s="73">
        <f>K30</f>
        <v>0</v>
      </c>
      <c r="L29" s="73">
        <f>L30</f>
        <v>0</v>
      </c>
      <c r="M29" s="349">
        <f>M30</f>
        <v>0</v>
      </c>
    </row>
    <row r="30" spans="1:13" ht="15">
      <c r="A30" s="356"/>
      <c r="B30" s="87"/>
      <c r="C30" s="84" t="s">
        <v>66</v>
      </c>
      <c r="D30" s="95" t="s">
        <v>67</v>
      </c>
      <c r="E30" s="78">
        <f>SUM(J30+F30)</f>
        <v>450000</v>
      </c>
      <c r="F30" s="93">
        <f>SUM(G30:I30)</f>
        <v>450000</v>
      </c>
      <c r="G30" s="78">
        <f>450000</f>
        <v>450000</v>
      </c>
      <c r="H30" s="78">
        <v>0</v>
      </c>
      <c r="I30" s="78">
        <v>0</v>
      </c>
      <c r="J30" s="93">
        <f t="shared" si="4"/>
        <v>0</v>
      </c>
      <c r="K30" s="78">
        <v>0</v>
      </c>
      <c r="L30" s="78">
        <v>0</v>
      </c>
      <c r="M30" s="351">
        <v>0</v>
      </c>
    </row>
    <row r="31" spans="1:13" ht="15">
      <c r="A31" s="348"/>
      <c r="B31" s="70">
        <v>71013</v>
      </c>
      <c r="C31" s="70"/>
      <c r="D31" s="71" t="s">
        <v>52</v>
      </c>
      <c r="E31" s="73">
        <f aca="true" t="shared" si="5" ref="E31:E36">SUM(J31+F31)</f>
        <v>87000</v>
      </c>
      <c r="F31" s="74">
        <f aca="true" t="shared" si="6" ref="F31:F36">SUM(G31:I31)</f>
        <v>87000</v>
      </c>
      <c r="G31" s="73">
        <f>G32</f>
        <v>0</v>
      </c>
      <c r="H31" s="73">
        <f>H32</f>
        <v>87000</v>
      </c>
      <c r="I31" s="73">
        <f>I32</f>
        <v>0</v>
      </c>
      <c r="J31" s="74">
        <f t="shared" si="4"/>
        <v>0</v>
      </c>
      <c r="K31" s="73">
        <f>K32</f>
        <v>0</v>
      </c>
      <c r="L31" s="73">
        <f>L32</f>
        <v>0</v>
      </c>
      <c r="M31" s="349">
        <f>M32</f>
        <v>0</v>
      </c>
    </row>
    <row r="32" spans="1:13" ht="45">
      <c r="A32" s="356"/>
      <c r="B32" s="87"/>
      <c r="C32" s="87">
        <v>2110</v>
      </c>
      <c r="D32" s="85" t="s">
        <v>46</v>
      </c>
      <c r="E32" s="78">
        <f t="shared" si="5"/>
        <v>87000</v>
      </c>
      <c r="F32" s="93">
        <f t="shared" si="6"/>
        <v>87000</v>
      </c>
      <c r="G32" s="78">
        <v>0</v>
      </c>
      <c r="H32" s="78">
        <v>87000</v>
      </c>
      <c r="I32" s="78">
        <v>0</v>
      </c>
      <c r="J32" s="93">
        <f t="shared" si="4"/>
        <v>0</v>
      </c>
      <c r="K32" s="78">
        <v>0</v>
      </c>
      <c r="L32" s="78">
        <v>0</v>
      </c>
      <c r="M32" s="351">
        <v>0</v>
      </c>
    </row>
    <row r="33" spans="1:13" ht="15">
      <c r="A33" s="356"/>
      <c r="B33" s="87">
        <v>71014</v>
      </c>
      <c r="C33" s="87"/>
      <c r="D33" s="89" t="s">
        <v>53</v>
      </c>
      <c r="E33" s="73">
        <f t="shared" si="5"/>
        <v>22000</v>
      </c>
      <c r="F33" s="74">
        <f t="shared" si="6"/>
        <v>22000</v>
      </c>
      <c r="G33" s="78">
        <f>G34</f>
        <v>0</v>
      </c>
      <c r="H33" s="78">
        <f>H34</f>
        <v>22000</v>
      </c>
      <c r="I33" s="78">
        <f>I34</f>
        <v>0</v>
      </c>
      <c r="J33" s="74">
        <f t="shared" si="4"/>
        <v>0</v>
      </c>
      <c r="K33" s="78">
        <f>K34</f>
        <v>0</v>
      </c>
      <c r="L33" s="78">
        <f>L34</f>
        <v>0</v>
      </c>
      <c r="M33" s="351">
        <f>M34</f>
        <v>0</v>
      </c>
    </row>
    <row r="34" spans="1:13" ht="45">
      <c r="A34" s="356"/>
      <c r="B34" s="87"/>
      <c r="C34" s="87">
        <v>2110</v>
      </c>
      <c r="D34" s="85" t="s">
        <v>46</v>
      </c>
      <c r="E34" s="73">
        <f t="shared" si="5"/>
        <v>22000</v>
      </c>
      <c r="F34" s="74">
        <f t="shared" si="6"/>
        <v>22000</v>
      </c>
      <c r="G34" s="78">
        <v>0</v>
      </c>
      <c r="H34" s="78">
        <v>22000</v>
      </c>
      <c r="I34" s="78">
        <v>0</v>
      </c>
      <c r="J34" s="74">
        <f t="shared" si="4"/>
        <v>0</v>
      </c>
      <c r="K34" s="78">
        <v>0</v>
      </c>
      <c r="L34" s="78">
        <v>0</v>
      </c>
      <c r="M34" s="351">
        <v>0</v>
      </c>
    </row>
    <row r="35" spans="1:13" ht="15">
      <c r="A35" s="356"/>
      <c r="B35" s="87">
        <v>71015</v>
      </c>
      <c r="C35" s="87"/>
      <c r="D35" s="89" t="s">
        <v>54</v>
      </c>
      <c r="E35" s="73">
        <f>SUM(J35+F35)</f>
        <v>229000</v>
      </c>
      <c r="F35" s="74">
        <f>SUM(G35:I35)</f>
        <v>229000</v>
      </c>
      <c r="G35" s="78">
        <f aca="true" t="shared" si="7" ref="G35:M35">SUM(G36)</f>
        <v>0</v>
      </c>
      <c r="H35" s="78">
        <f t="shared" si="7"/>
        <v>229000</v>
      </c>
      <c r="I35" s="78">
        <f t="shared" si="7"/>
        <v>0</v>
      </c>
      <c r="J35" s="93">
        <f t="shared" si="7"/>
        <v>0</v>
      </c>
      <c r="K35" s="78">
        <f t="shared" si="7"/>
        <v>0</v>
      </c>
      <c r="L35" s="78">
        <f t="shared" si="7"/>
        <v>0</v>
      </c>
      <c r="M35" s="351">
        <f t="shared" si="7"/>
        <v>0</v>
      </c>
    </row>
    <row r="36" spans="1:13" ht="45.75" thickBot="1">
      <c r="A36" s="356"/>
      <c r="B36" s="87"/>
      <c r="C36" s="87">
        <v>2110</v>
      </c>
      <c r="D36" s="85" t="s">
        <v>46</v>
      </c>
      <c r="E36" s="73">
        <f t="shared" si="5"/>
        <v>229000</v>
      </c>
      <c r="F36" s="74">
        <f t="shared" si="6"/>
        <v>229000</v>
      </c>
      <c r="G36" s="78">
        <v>0</v>
      </c>
      <c r="H36" s="78">
        <v>229000</v>
      </c>
      <c r="I36" s="78">
        <v>0</v>
      </c>
      <c r="J36" s="74">
        <f>SUM(K36:M36)</f>
        <v>0</v>
      </c>
      <c r="K36" s="78">
        <v>0</v>
      </c>
      <c r="L36" s="78">
        <v>0</v>
      </c>
      <c r="M36" s="351">
        <v>0</v>
      </c>
    </row>
    <row r="37" spans="1:13" ht="18" thickBot="1" thickTop="1">
      <c r="A37" s="355">
        <v>750</v>
      </c>
      <c r="B37" s="86"/>
      <c r="C37" s="86"/>
      <c r="D37" s="81" t="s">
        <v>55</v>
      </c>
      <c r="E37" s="68">
        <f>SUM(E38+E40+E46)</f>
        <v>338000</v>
      </c>
      <c r="F37" s="69">
        <f aca="true" t="shared" si="8" ref="F37:M37">SUM(F38+F40+F46)</f>
        <v>338000</v>
      </c>
      <c r="G37" s="68">
        <f t="shared" si="8"/>
        <v>210800</v>
      </c>
      <c r="H37" s="68">
        <f t="shared" si="8"/>
        <v>126200</v>
      </c>
      <c r="I37" s="68">
        <f t="shared" si="8"/>
        <v>1000</v>
      </c>
      <c r="J37" s="69">
        <f t="shared" si="8"/>
        <v>0</v>
      </c>
      <c r="K37" s="68">
        <f t="shared" si="8"/>
        <v>0</v>
      </c>
      <c r="L37" s="68">
        <f t="shared" si="8"/>
        <v>0</v>
      </c>
      <c r="M37" s="347">
        <f t="shared" si="8"/>
        <v>0</v>
      </c>
    </row>
    <row r="38" spans="1:13" ht="15.75" thickTop="1">
      <c r="A38" s="348"/>
      <c r="B38" s="70">
        <v>75011</v>
      </c>
      <c r="C38" s="70"/>
      <c r="D38" s="71" t="s">
        <v>56</v>
      </c>
      <c r="E38" s="73">
        <f>SUM(J38+F38)</f>
        <v>103200</v>
      </c>
      <c r="F38" s="74">
        <f>SUM(G38:I38)</f>
        <v>103200</v>
      </c>
      <c r="G38" s="73">
        <f>G39</f>
        <v>0</v>
      </c>
      <c r="H38" s="73">
        <f aca="true" t="shared" si="9" ref="H38:M38">H39</f>
        <v>103200</v>
      </c>
      <c r="I38" s="73">
        <f t="shared" si="9"/>
        <v>0</v>
      </c>
      <c r="J38" s="74">
        <f>SUM(K38:M38)</f>
        <v>0</v>
      </c>
      <c r="K38" s="73">
        <f t="shared" si="9"/>
        <v>0</v>
      </c>
      <c r="L38" s="73">
        <f t="shared" si="9"/>
        <v>0</v>
      </c>
      <c r="M38" s="349">
        <f t="shared" si="9"/>
        <v>0</v>
      </c>
    </row>
    <row r="39" spans="1:13" ht="45">
      <c r="A39" s="356"/>
      <c r="B39" s="87"/>
      <c r="C39" s="87">
        <v>2110</v>
      </c>
      <c r="D39" s="85" t="s">
        <v>46</v>
      </c>
      <c r="E39" s="73">
        <f aca="true" t="shared" si="10" ref="E39:E48">SUM(J39+F39)</f>
        <v>103200</v>
      </c>
      <c r="F39" s="74">
        <f aca="true" t="shared" si="11" ref="F39:F48">SUM(G39:I39)</f>
        <v>103200</v>
      </c>
      <c r="G39" s="78">
        <v>0</v>
      </c>
      <c r="H39" s="78">
        <v>103200</v>
      </c>
      <c r="I39" s="78">
        <v>0</v>
      </c>
      <c r="J39" s="74">
        <f>SUM(K39:M39)</f>
        <v>0</v>
      </c>
      <c r="K39" s="78">
        <v>0</v>
      </c>
      <c r="L39" s="78">
        <v>0</v>
      </c>
      <c r="M39" s="351">
        <v>0</v>
      </c>
    </row>
    <row r="40" spans="1:13" ht="15">
      <c r="A40" s="356"/>
      <c r="B40" s="87">
        <v>75020</v>
      </c>
      <c r="C40" s="87"/>
      <c r="D40" s="89" t="s">
        <v>57</v>
      </c>
      <c r="E40" s="73">
        <f t="shared" si="10"/>
        <v>210800</v>
      </c>
      <c r="F40" s="74">
        <f>SUM(G40:I40)</f>
        <v>210800</v>
      </c>
      <c r="G40" s="78">
        <f>SUM(G41:G45)</f>
        <v>210800</v>
      </c>
      <c r="H40" s="78">
        <f>SUM(H41:H45)</f>
        <v>0</v>
      </c>
      <c r="I40" s="78">
        <f>SUM(I41:I45)</f>
        <v>0</v>
      </c>
      <c r="J40" s="74">
        <f aca="true" t="shared" si="12" ref="J40:J48">SUM(K40:M40)</f>
        <v>0</v>
      </c>
      <c r="K40" s="78">
        <f>SUM(K41:K45)</f>
        <v>0</v>
      </c>
      <c r="L40" s="78">
        <f>SUM(L41:L45)</f>
        <v>0</v>
      </c>
      <c r="M40" s="351">
        <f>SUM(M41:M45)</f>
        <v>0</v>
      </c>
    </row>
    <row r="41" spans="1:13" ht="30">
      <c r="A41" s="356"/>
      <c r="B41" s="87"/>
      <c r="C41" s="84" t="s">
        <v>60</v>
      </c>
      <c r="D41" s="95" t="s">
        <v>61</v>
      </c>
      <c r="E41" s="73">
        <f t="shared" si="10"/>
        <v>84000</v>
      </c>
      <c r="F41" s="74">
        <f t="shared" si="11"/>
        <v>84000</v>
      </c>
      <c r="G41" s="78">
        <v>84000</v>
      </c>
      <c r="H41" s="78">
        <v>0</v>
      </c>
      <c r="I41" s="78">
        <v>0</v>
      </c>
      <c r="J41" s="74">
        <f>SUM(K41:M41)</f>
        <v>0</v>
      </c>
      <c r="K41" s="78">
        <v>0</v>
      </c>
      <c r="L41" s="78">
        <v>0</v>
      </c>
      <c r="M41" s="351">
        <v>0</v>
      </c>
    </row>
    <row r="42" spans="1:13" ht="15">
      <c r="A42" s="356"/>
      <c r="B42" s="87"/>
      <c r="C42" s="84" t="s">
        <v>62</v>
      </c>
      <c r="D42" s="95" t="s">
        <v>63</v>
      </c>
      <c r="E42" s="73">
        <f t="shared" si="10"/>
        <v>4800</v>
      </c>
      <c r="F42" s="74">
        <f t="shared" si="11"/>
        <v>4800</v>
      </c>
      <c r="G42" s="78">
        <v>4800</v>
      </c>
      <c r="H42" s="78">
        <v>0</v>
      </c>
      <c r="I42" s="78">
        <v>0</v>
      </c>
      <c r="J42" s="74">
        <f>SUM(K42:M42)</f>
        <v>0</v>
      </c>
      <c r="K42" s="78">
        <v>0</v>
      </c>
      <c r="L42" s="78">
        <v>0</v>
      </c>
      <c r="M42" s="351">
        <v>0</v>
      </c>
    </row>
    <row r="43" spans="1:13" ht="60">
      <c r="A43" s="356"/>
      <c r="B43" s="87"/>
      <c r="C43" s="84" t="s">
        <v>64</v>
      </c>
      <c r="D43" s="95" t="s">
        <v>65</v>
      </c>
      <c r="E43" s="73">
        <f t="shared" si="10"/>
        <v>32000</v>
      </c>
      <c r="F43" s="74">
        <f t="shared" si="11"/>
        <v>32000</v>
      </c>
      <c r="G43" s="78">
        <v>32000</v>
      </c>
      <c r="H43" s="78">
        <v>0</v>
      </c>
      <c r="I43" s="78">
        <v>0</v>
      </c>
      <c r="J43" s="74">
        <f t="shared" si="12"/>
        <v>0</v>
      </c>
      <c r="K43" s="78">
        <v>0</v>
      </c>
      <c r="L43" s="78">
        <v>0</v>
      </c>
      <c r="M43" s="351">
        <v>0</v>
      </c>
    </row>
    <row r="44" spans="1:13" ht="15">
      <c r="A44" s="356"/>
      <c r="B44" s="87"/>
      <c r="C44" s="84" t="s">
        <v>66</v>
      </c>
      <c r="D44" s="95" t="s">
        <v>67</v>
      </c>
      <c r="E44" s="73">
        <f t="shared" si="10"/>
        <v>80000</v>
      </c>
      <c r="F44" s="74">
        <f t="shared" si="11"/>
        <v>80000</v>
      </c>
      <c r="G44" s="78">
        <v>80000</v>
      </c>
      <c r="H44" s="78">
        <v>0</v>
      </c>
      <c r="I44" s="78">
        <v>0</v>
      </c>
      <c r="J44" s="74">
        <f t="shared" si="12"/>
        <v>0</v>
      </c>
      <c r="K44" s="78">
        <v>0</v>
      </c>
      <c r="L44" s="78">
        <v>0</v>
      </c>
      <c r="M44" s="351">
        <v>0</v>
      </c>
    </row>
    <row r="45" spans="1:13" ht="15">
      <c r="A45" s="356"/>
      <c r="B45" s="87"/>
      <c r="C45" s="84" t="s">
        <v>68</v>
      </c>
      <c r="D45" s="95" t="s">
        <v>69</v>
      </c>
      <c r="E45" s="78">
        <f t="shared" si="10"/>
        <v>10000</v>
      </c>
      <c r="F45" s="93">
        <f t="shared" si="11"/>
        <v>10000</v>
      </c>
      <c r="G45" s="78">
        <v>10000</v>
      </c>
      <c r="H45" s="78">
        <v>0</v>
      </c>
      <c r="I45" s="78">
        <v>0</v>
      </c>
      <c r="J45" s="93">
        <f t="shared" si="12"/>
        <v>0</v>
      </c>
      <c r="K45" s="78">
        <v>0</v>
      </c>
      <c r="L45" s="78">
        <v>0</v>
      </c>
      <c r="M45" s="351">
        <v>0</v>
      </c>
    </row>
    <row r="46" spans="1:13" ht="15">
      <c r="A46" s="356"/>
      <c r="B46" s="87">
        <v>75045</v>
      </c>
      <c r="C46" s="87"/>
      <c r="D46" s="89" t="s">
        <v>276</v>
      </c>
      <c r="E46" s="73">
        <f t="shared" si="10"/>
        <v>24000</v>
      </c>
      <c r="F46" s="74">
        <f t="shared" si="11"/>
        <v>24000</v>
      </c>
      <c r="G46" s="78">
        <f>SUM(G47:G48)</f>
        <v>0</v>
      </c>
      <c r="H46" s="78">
        <f>SUM(H47:H48)</f>
        <v>23000</v>
      </c>
      <c r="I46" s="78">
        <f>SUM(I47:I48)</f>
        <v>1000</v>
      </c>
      <c r="J46" s="74">
        <f t="shared" si="12"/>
        <v>0</v>
      </c>
      <c r="K46" s="78">
        <f>SUM(K47:K48)</f>
        <v>0</v>
      </c>
      <c r="L46" s="78">
        <f>SUM(L47:L48)</f>
        <v>0</v>
      </c>
      <c r="M46" s="351">
        <f>SUM(M47:M48)</f>
        <v>0</v>
      </c>
    </row>
    <row r="47" spans="1:13" ht="45">
      <c r="A47" s="356"/>
      <c r="B47" s="87"/>
      <c r="C47" s="87">
        <v>2110</v>
      </c>
      <c r="D47" s="85" t="s">
        <v>46</v>
      </c>
      <c r="E47" s="73">
        <f t="shared" si="10"/>
        <v>23000</v>
      </c>
      <c r="F47" s="74">
        <f t="shared" si="11"/>
        <v>23000</v>
      </c>
      <c r="G47" s="78">
        <v>0</v>
      </c>
      <c r="H47" s="78">
        <v>23000</v>
      </c>
      <c r="I47" s="78">
        <v>0</v>
      </c>
      <c r="J47" s="74">
        <f t="shared" si="12"/>
        <v>0</v>
      </c>
      <c r="K47" s="78">
        <v>0</v>
      </c>
      <c r="L47" s="78">
        <v>0</v>
      </c>
      <c r="M47" s="351">
        <v>0</v>
      </c>
    </row>
    <row r="48" spans="1:13" ht="45.75" thickBot="1">
      <c r="A48" s="350"/>
      <c r="B48" s="75"/>
      <c r="C48" s="75">
        <v>2120</v>
      </c>
      <c r="D48" s="85" t="s">
        <v>70</v>
      </c>
      <c r="E48" s="73">
        <f t="shared" si="10"/>
        <v>1000</v>
      </c>
      <c r="F48" s="74">
        <f t="shared" si="11"/>
        <v>1000</v>
      </c>
      <c r="G48" s="88">
        <v>0</v>
      </c>
      <c r="H48" s="88">
        <v>0</v>
      </c>
      <c r="I48" s="88">
        <v>1000</v>
      </c>
      <c r="J48" s="74">
        <f t="shared" si="12"/>
        <v>0</v>
      </c>
      <c r="K48" s="88">
        <v>0</v>
      </c>
      <c r="L48" s="88">
        <v>0</v>
      </c>
      <c r="M48" s="359">
        <v>0</v>
      </c>
    </row>
    <row r="49" spans="1:13" ht="34.5" thickBot="1" thickTop="1">
      <c r="A49" s="355">
        <v>754</v>
      </c>
      <c r="B49" s="86"/>
      <c r="C49" s="86"/>
      <c r="D49" s="96" t="s">
        <v>10</v>
      </c>
      <c r="E49" s="68">
        <f>SUM(E50)</f>
        <v>2897010</v>
      </c>
      <c r="F49" s="69">
        <f aca="true" t="shared" si="13" ref="F49:M49">SUM(F50)</f>
        <v>2897010</v>
      </c>
      <c r="G49" s="68">
        <f t="shared" si="13"/>
        <v>10</v>
      </c>
      <c r="H49" s="68">
        <f t="shared" si="13"/>
        <v>2897000</v>
      </c>
      <c r="I49" s="68">
        <f t="shared" si="13"/>
        <v>0</v>
      </c>
      <c r="J49" s="69">
        <f t="shared" si="13"/>
        <v>0</v>
      </c>
      <c r="K49" s="68">
        <f t="shared" si="13"/>
        <v>0</v>
      </c>
      <c r="L49" s="68">
        <f t="shared" si="13"/>
        <v>0</v>
      </c>
      <c r="M49" s="347">
        <f t="shared" si="13"/>
        <v>0</v>
      </c>
    </row>
    <row r="50" spans="1:13" ht="15.75" thickTop="1">
      <c r="A50" s="348"/>
      <c r="B50" s="70">
        <v>75411</v>
      </c>
      <c r="C50" s="70"/>
      <c r="D50" s="71" t="s">
        <v>71</v>
      </c>
      <c r="E50" s="73">
        <f>SUM(J50+F50)</f>
        <v>2897010</v>
      </c>
      <c r="F50" s="74">
        <f aca="true" t="shared" si="14" ref="F50:F59">SUM(G50:I50)</f>
        <v>2897010</v>
      </c>
      <c r="G50" s="73">
        <f>SUM(G51:G52)</f>
        <v>10</v>
      </c>
      <c r="H50" s="73">
        <f>SUM(H51:H52)</f>
        <v>2897000</v>
      </c>
      <c r="I50" s="73">
        <f>SUM(I51:I52)</f>
        <v>0</v>
      </c>
      <c r="J50" s="74">
        <f aca="true" t="shared" si="15" ref="J50:J59">SUM(K50:M50)</f>
        <v>0</v>
      </c>
      <c r="K50" s="73">
        <f>SUM(K51:K52)</f>
        <v>0</v>
      </c>
      <c r="L50" s="73">
        <f>SUM(L51:L52)</f>
        <v>0</v>
      </c>
      <c r="M50" s="349">
        <f>SUM(M51:M52)</f>
        <v>0</v>
      </c>
    </row>
    <row r="51" spans="1:13" ht="15">
      <c r="A51" s="356"/>
      <c r="B51" s="87"/>
      <c r="C51" s="87" t="s">
        <v>72</v>
      </c>
      <c r="D51" s="89" t="s">
        <v>69</v>
      </c>
      <c r="E51" s="78">
        <f>SUM(J51+F51)</f>
        <v>10</v>
      </c>
      <c r="F51" s="93">
        <f t="shared" si="14"/>
        <v>10</v>
      </c>
      <c r="G51" s="78">
        <v>10</v>
      </c>
      <c r="H51" s="78">
        <f>0</f>
        <v>0</v>
      </c>
      <c r="I51" s="78">
        <v>0</v>
      </c>
      <c r="J51" s="93">
        <f t="shared" si="15"/>
        <v>0</v>
      </c>
      <c r="K51" s="78"/>
      <c r="L51" s="78">
        <v>0</v>
      </c>
      <c r="M51" s="351">
        <v>0</v>
      </c>
    </row>
    <row r="52" spans="1:13" ht="51" customHeight="1" thickBot="1">
      <c r="A52" s="357"/>
      <c r="B52" s="76"/>
      <c r="C52" s="76">
        <v>2110</v>
      </c>
      <c r="D52" s="90" t="s">
        <v>46</v>
      </c>
      <c r="E52" s="91">
        <f>SUM(J52+F52)</f>
        <v>2897000</v>
      </c>
      <c r="F52" s="92">
        <f t="shared" si="14"/>
        <v>2897000</v>
      </c>
      <c r="G52" s="91">
        <v>0</v>
      </c>
      <c r="H52" s="91">
        <v>2897000</v>
      </c>
      <c r="I52" s="91">
        <v>0</v>
      </c>
      <c r="J52" s="92">
        <f t="shared" si="15"/>
        <v>0</v>
      </c>
      <c r="K52" s="91">
        <v>0</v>
      </c>
      <c r="L52" s="91">
        <v>0</v>
      </c>
      <c r="M52" s="358">
        <v>0</v>
      </c>
    </row>
    <row r="53" spans="1:13" ht="67.5" thickBot="1" thickTop="1">
      <c r="A53" s="355">
        <v>756</v>
      </c>
      <c r="B53" s="86"/>
      <c r="C53" s="86"/>
      <c r="D53" s="96" t="s">
        <v>24</v>
      </c>
      <c r="E53" s="68">
        <f>G53+H53+I53</f>
        <v>4484905</v>
      </c>
      <c r="F53" s="69">
        <f t="shared" si="14"/>
        <v>4484905</v>
      </c>
      <c r="G53" s="68">
        <f>G57+G54</f>
        <v>4484905</v>
      </c>
      <c r="H53" s="68">
        <f>H57+H54</f>
        <v>0</v>
      </c>
      <c r="I53" s="68">
        <f>I57+I54</f>
        <v>0</v>
      </c>
      <c r="J53" s="69">
        <f t="shared" si="15"/>
        <v>0</v>
      </c>
      <c r="K53" s="68">
        <f>K57</f>
        <v>0</v>
      </c>
      <c r="L53" s="68">
        <f>L57</f>
        <v>0</v>
      </c>
      <c r="M53" s="347">
        <f>M57</f>
        <v>0</v>
      </c>
    </row>
    <row r="54" spans="1:13" ht="40.5" customHeight="1" thickTop="1">
      <c r="A54" s="348"/>
      <c r="B54" s="70">
        <v>75618</v>
      </c>
      <c r="C54" s="70"/>
      <c r="D54" s="72" t="s">
        <v>73</v>
      </c>
      <c r="E54" s="73">
        <f>SUM(J54+F54)</f>
        <v>1010000</v>
      </c>
      <c r="F54" s="74">
        <f>SUM(G54:I54)</f>
        <v>1010000</v>
      </c>
      <c r="G54" s="73">
        <f>SUM(G55:G56)</f>
        <v>1010000</v>
      </c>
      <c r="H54" s="73">
        <f aca="true" t="shared" si="16" ref="H54:M54">SUM(H55:H56)</f>
        <v>0</v>
      </c>
      <c r="I54" s="73">
        <f t="shared" si="16"/>
        <v>0</v>
      </c>
      <c r="J54" s="74">
        <f t="shared" si="16"/>
        <v>0</v>
      </c>
      <c r="K54" s="73">
        <f t="shared" si="16"/>
        <v>0</v>
      </c>
      <c r="L54" s="73">
        <f t="shared" si="16"/>
        <v>0</v>
      </c>
      <c r="M54" s="349">
        <f t="shared" si="16"/>
        <v>0</v>
      </c>
    </row>
    <row r="55" spans="1:13" ht="15">
      <c r="A55" s="356"/>
      <c r="B55" s="87"/>
      <c r="C55" s="87" t="s">
        <v>58</v>
      </c>
      <c r="D55" s="89" t="s">
        <v>59</v>
      </c>
      <c r="E55" s="73">
        <f>SUM(J55+F55)</f>
        <v>860000</v>
      </c>
      <c r="F55" s="74">
        <f>SUM(G55:I55)</f>
        <v>860000</v>
      </c>
      <c r="G55" s="78">
        <f>760000+50000+50000</f>
        <v>860000</v>
      </c>
      <c r="H55" s="78">
        <v>0</v>
      </c>
      <c r="I55" s="78">
        <v>0</v>
      </c>
      <c r="J55" s="74">
        <f>SUM(K55:M55)</f>
        <v>0</v>
      </c>
      <c r="K55" s="78"/>
      <c r="L55" s="78">
        <v>0</v>
      </c>
      <c r="M55" s="351">
        <v>0</v>
      </c>
    </row>
    <row r="56" spans="1:13" ht="45">
      <c r="A56" s="356"/>
      <c r="B56" s="87"/>
      <c r="C56" s="87" t="s">
        <v>74</v>
      </c>
      <c r="D56" s="85" t="s">
        <v>75</v>
      </c>
      <c r="E56" s="78">
        <f>SUM(J56+F56)</f>
        <v>150000</v>
      </c>
      <c r="F56" s="93">
        <f>SUM(G56:I56)</f>
        <v>150000</v>
      </c>
      <c r="G56" s="78">
        <f>140000+10000</f>
        <v>150000</v>
      </c>
      <c r="H56" s="78">
        <v>0</v>
      </c>
      <c r="I56" s="78">
        <v>0</v>
      </c>
      <c r="J56" s="93">
        <f>SUM(K56:M56)</f>
        <v>0</v>
      </c>
      <c r="K56" s="78">
        <v>0</v>
      </c>
      <c r="L56" s="78">
        <v>0</v>
      </c>
      <c r="M56" s="351">
        <v>0</v>
      </c>
    </row>
    <row r="57" spans="1:13" ht="30">
      <c r="A57" s="356"/>
      <c r="B57" s="87">
        <v>75622</v>
      </c>
      <c r="C57" s="87"/>
      <c r="D57" s="85" t="s">
        <v>76</v>
      </c>
      <c r="E57" s="78">
        <f>G57+H57+I57</f>
        <v>3474905</v>
      </c>
      <c r="F57" s="93">
        <f t="shared" si="14"/>
        <v>3474905</v>
      </c>
      <c r="G57" s="78">
        <f>G58+G59</f>
        <v>3474905</v>
      </c>
      <c r="H57" s="73">
        <f>H58+H59</f>
        <v>0</v>
      </c>
      <c r="I57" s="73">
        <f>I58+I59</f>
        <v>0</v>
      </c>
      <c r="J57" s="74">
        <f t="shared" si="15"/>
        <v>0</v>
      </c>
      <c r="K57" s="73">
        <f>K58+K59</f>
        <v>0</v>
      </c>
      <c r="L57" s="73">
        <f>L58+L59</f>
        <v>0</v>
      </c>
      <c r="M57" s="349">
        <f>M58+M59</f>
        <v>0</v>
      </c>
    </row>
    <row r="58" spans="1:13" ht="15">
      <c r="A58" s="356"/>
      <c r="B58" s="87"/>
      <c r="C58" s="87" t="s">
        <v>77</v>
      </c>
      <c r="D58" s="89" t="s">
        <v>78</v>
      </c>
      <c r="E58" s="78">
        <f>G58</f>
        <v>3334905</v>
      </c>
      <c r="F58" s="74">
        <f t="shared" si="14"/>
        <v>3334905</v>
      </c>
      <c r="G58" s="78">
        <f>3334905</f>
        <v>3334905</v>
      </c>
      <c r="H58" s="78">
        <v>0</v>
      </c>
      <c r="I58" s="78">
        <v>0</v>
      </c>
      <c r="J58" s="93">
        <f t="shared" si="15"/>
        <v>0</v>
      </c>
      <c r="K58" s="78"/>
      <c r="L58" s="78">
        <v>0</v>
      </c>
      <c r="M58" s="351">
        <v>0</v>
      </c>
    </row>
    <row r="59" spans="1:13" ht="15.75" thickBot="1">
      <c r="A59" s="357"/>
      <c r="B59" s="76"/>
      <c r="C59" s="76" t="s">
        <v>79</v>
      </c>
      <c r="D59" s="97" t="s">
        <v>80</v>
      </c>
      <c r="E59" s="91">
        <f>G59</f>
        <v>140000</v>
      </c>
      <c r="F59" s="92">
        <f t="shared" si="14"/>
        <v>140000</v>
      </c>
      <c r="G59" s="91">
        <f>120000+20000</f>
        <v>140000</v>
      </c>
      <c r="H59" s="91">
        <v>0</v>
      </c>
      <c r="I59" s="91">
        <v>0</v>
      </c>
      <c r="J59" s="92">
        <f t="shared" si="15"/>
        <v>0</v>
      </c>
      <c r="K59" s="91"/>
      <c r="L59" s="91">
        <v>0</v>
      </c>
      <c r="M59" s="358">
        <v>0</v>
      </c>
    </row>
    <row r="60" spans="1:13" ht="18" thickBot="1" thickTop="1">
      <c r="A60" s="355">
        <v>758</v>
      </c>
      <c r="B60" s="86"/>
      <c r="C60" s="86"/>
      <c r="D60" s="81" t="s">
        <v>12</v>
      </c>
      <c r="E60" s="68">
        <f>SUM(E61+E63+E65)</f>
        <v>20260317</v>
      </c>
      <c r="F60" s="69">
        <f aca="true" t="shared" si="17" ref="F60:M60">SUM(F61+F63+F65)</f>
        <v>20260317</v>
      </c>
      <c r="G60" s="68">
        <f t="shared" si="17"/>
        <v>20260317</v>
      </c>
      <c r="H60" s="68">
        <f t="shared" si="17"/>
        <v>0</v>
      </c>
      <c r="I60" s="68">
        <f t="shared" si="17"/>
        <v>0</v>
      </c>
      <c r="J60" s="69">
        <f t="shared" si="17"/>
        <v>0</v>
      </c>
      <c r="K60" s="68">
        <f t="shared" si="17"/>
        <v>0</v>
      </c>
      <c r="L60" s="68">
        <f t="shared" si="17"/>
        <v>0</v>
      </c>
      <c r="M60" s="347">
        <f t="shared" si="17"/>
        <v>0</v>
      </c>
    </row>
    <row r="61" spans="1:13" ht="33.75" thickTop="1">
      <c r="A61" s="348"/>
      <c r="B61" s="70">
        <v>75801</v>
      </c>
      <c r="C61" s="70"/>
      <c r="D61" s="72" t="s">
        <v>251</v>
      </c>
      <c r="E61" s="73">
        <f aca="true" t="shared" si="18" ref="E61:E66">SUM(J61+F61)</f>
        <v>13101264</v>
      </c>
      <c r="F61" s="74">
        <f aca="true" t="shared" si="19" ref="F61:F66">SUM(G61:I61)</f>
        <v>13101264</v>
      </c>
      <c r="G61" s="73">
        <f>G62</f>
        <v>13101264</v>
      </c>
      <c r="H61" s="73">
        <f>H62</f>
        <v>0</v>
      </c>
      <c r="I61" s="73">
        <f>I62</f>
        <v>0</v>
      </c>
      <c r="J61" s="74">
        <f aca="true" t="shared" si="20" ref="J61:J66">SUM(K61:M61)</f>
        <v>0</v>
      </c>
      <c r="K61" s="73">
        <f>K62</f>
        <v>0</v>
      </c>
      <c r="L61" s="73">
        <f>L62</f>
        <v>0</v>
      </c>
      <c r="M61" s="349">
        <f>M62</f>
        <v>0</v>
      </c>
    </row>
    <row r="62" spans="1:13" ht="15">
      <c r="A62" s="356"/>
      <c r="B62" s="87"/>
      <c r="C62" s="87">
        <v>2920</v>
      </c>
      <c r="D62" s="89" t="s">
        <v>81</v>
      </c>
      <c r="E62" s="73">
        <f t="shared" si="18"/>
        <v>13101264</v>
      </c>
      <c r="F62" s="74">
        <f t="shared" si="19"/>
        <v>13101264</v>
      </c>
      <c r="G62" s="78">
        <f>13101264</f>
        <v>13101264</v>
      </c>
      <c r="H62" s="78">
        <v>0</v>
      </c>
      <c r="I62" s="78">
        <v>0</v>
      </c>
      <c r="J62" s="74">
        <f t="shared" si="20"/>
        <v>0</v>
      </c>
      <c r="K62" s="78">
        <v>0</v>
      </c>
      <c r="L62" s="78">
        <v>0</v>
      </c>
      <c r="M62" s="351">
        <v>0</v>
      </c>
    </row>
    <row r="63" spans="1:13" ht="16.5">
      <c r="A63" s="356"/>
      <c r="B63" s="87">
        <v>75803</v>
      </c>
      <c r="C63" s="87"/>
      <c r="D63" s="85" t="s">
        <v>252</v>
      </c>
      <c r="E63" s="73">
        <f t="shared" si="18"/>
        <v>5528525</v>
      </c>
      <c r="F63" s="74">
        <f t="shared" si="19"/>
        <v>5528525</v>
      </c>
      <c r="G63" s="78">
        <f>G64</f>
        <v>5528525</v>
      </c>
      <c r="H63" s="78">
        <f>H64</f>
        <v>0</v>
      </c>
      <c r="I63" s="78">
        <f>I64</f>
        <v>0</v>
      </c>
      <c r="J63" s="74">
        <f t="shared" si="20"/>
        <v>0</v>
      </c>
      <c r="K63" s="78">
        <f>K64</f>
        <v>0</v>
      </c>
      <c r="L63" s="78">
        <f>L64</f>
        <v>0</v>
      </c>
      <c r="M63" s="351">
        <f>M64</f>
        <v>0</v>
      </c>
    </row>
    <row r="64" spans="1:13" ht="15">
      <c r="A64" s="356"/>
      <c r="B64" s="87"/>
      <c r="C64" s="87">
        <v>2920</v>
      </c>
      <c r="D64" s="89" t="s">
        <v>81</v>
      </c>
      <c r="E64" s="73">
        <f t="shared" si="18"/>
        <v>5528525</v>
      </c>
      <c r="F64" s="74">
        <f t="shared" si="19"/>
        <v>5528525</v>
      </c>
      <c r="G64" s="78">
        <f>5528525</f>
        <v>5528525</v>
      </c>
      <c r="H64" s="78">
        <v>0</v>
      </c>
      <c r="I64" s="78">
        <v>0</v>
      </c>
      <c r="J64" s="74">
        <f t="shared" si="20"/>
        <v>0</v>
      </c>
      <c r="K64" s="78">
        <v>0</v>
      </c>
      <c r="L64" s="78">
        <v>0</v>
      </c>
      <c r="M64" s="351">
        <v>0</v>
      </c>
    </row>
    <row r="65" spans="1:13" ht="16.5">
      <c r="A65" s="350"/>
      <c r="B65" s="87">
        <v>75832</v>
      </c>
      <c r="C65" s="87"/>
      <c r="D65" s="85" t="s">
        <v>253</v>
      </c>
      <c r="E65" s="73">
        <f t="shared" si="18"/>
        <v>1630528</v>
      </c>
      <c r="F65" s="74">
        <f t="shared" si="19"/>
        <v>1630528</v>
      </c>
      <c r="G65" s="78">
        <f>G66</f>
        <v>1630528</v>
      </c>
      <c r="H65" s="78">
        <f>H66</f>
        <v>0</v>
      </c>
      <c r="I65" s="78">
        <f>I66</f>
        <v>0</v>
      </c>
      <c r="J65" s="74">
        <f t="shared" si="20"/>
        <v>0</v>
      </c>
      <c r="K65" s="78">
        <f>K66</f>
        <v>0</v>
      </c>
      <c r="L65" s="78">
        <f>L66</f>
        <v>0</v>
      </c>
      <c r="M65" s="351">
        <f>M66</f>
        <v>0</v>
      </c>
    </row>
    <row r="66" spans="1:13" ht="15.75" thickBot="1">
      <c r="A66" s="350"/>
      <c r="B66" s="87"/>
      <c r="C66" s="87">
        <v>2920</v>
      </c>
      <c r="D66" s="89" t="s">
        <v>81</v>
      </c>
      <c r="E66" s="73">
        <f t="shared" si="18"/>
        <v>1630528</v>
      </c>
      <c r="F66" s="74">
        <f t="shared" si="19"/>
        <v>1630528</v>
      </c>
      <c r="G66" s="78">
        <f>1630528</f>
        <v>1630528</v>
      </c>
      <c r="H66" s="78">
        <v>0</v>
      </c>
      <c r="I66" s="78">
        <v>0</v>
      </c>
      <c r="J66" s="74">
        <f t="shared" si="20"/>
        <v>0</v>
      </c>
      <c r="K66" s="78">
        <v>0</v>
      </c>
      <c r="L66" s="78">
        <v>0</v>
      </c>
      <c r="M66" s="351">
        <v>0</v>
      </c>
    </row>
    <row r="67" spans="1:13" ht="18" thickBot="1" thickTop="1">
      <c r="A67" s="355">
        <v>801</v>
      </c>
      <c r="B67" s="86"/>
      <c r="C67" s="86"/>
      <c r="D67" s="81" t="s">
        <v>82</v>
      </c>
      <c r="E67" s="68">
        <f>SUM(E68+E70+E72+E75+E80+E82)</f>
        <v>606700</v>
      </c>
      <c r="F67" s="69">
        <f>SUM(F68+F70+F72+F75+F80+F82)</f>
        <v>606700</v>
      </c>
      <c r="G67" s="68">
        <f>SUM(G68+G70+G72+G75+G80+G82)</f>
        <v>606700</v>
      </c>
      <c r="H67" s="68">
        <f>SUM(H68+H70+H72+H75+H80+H82)</f>
        <v>0</v>
      </c>
      <c r="I67" s="68">
        <f>SUM(I68+I70+I72+I75+I80+I82)</f>
        <v>0</v>
      </c>
      <c r="J67" s="69">
        <f>SUM(J68+J70+J72+J75+J80)</f>
        <v>0</v>
      </c>
      <c r="K67" s="68">
        <f>SUM(K68+K70+K72+K75+K80)</f>
        <v>0</v>
      </c>
      <c r="L67" s="68">
        <f>SUM(L68+L70+L72+L75+L80)</f>
        <v>0</v>
      </c>
      <c r="M67" s="347">
        <f>SUM(M68+M70+M72+M75+M80)</f>
        <v>0</v>
      </c>
    </row>
    <row r="68" spans="1:13" ht="15.75" thickTop="1">
      <c r="A68" s="348"/>
      <c r="B68" s="70">
        <v>80102</v>
      </c>
      <c r="C68" s="70"/>
      <c r="D68" s="71" t="s">
        <v>83</v>
      </c>
      <c r="E68" s="78">
        <f>SUM(J68+F68)</f>
        <v>3000</v>
      </c>
      <c r="F68" s="93">
        <f>SUM(G68:I68)</f>
        <v>3000</v>
      </c>
      <c r="G68" s="73">
        <f>G69</f>
        <v>3000</v>
      </c>
      <c r="H68" s="73">
        <f>H69</f>
        <v>0</v>
      </c>
      <c r="I68" s="73">
        <f>I69</f>
        <v>0</v>
      </c>
      <c r="J68" s="74">
        <f>SUM(K68:M68)</f>
        <v>0</v>
      </c>
      <c r="K68" s="73">
        <f>K69</f>
        <v>0</v>
      </c>
      <c r="L68" s="73">
        <f>L69</f>
        <v>0</v>
      </c>
      <c r="M68" s="349">
        <f>M69</f>
        <v>0</v>
      </c>
    </row>
    <row r="69" spans="1:13" ht="66.75" customHeight="1">
      <c r="A69" s="356"/>
      <c r="B69" s="87"/>
      <c r="C69" s="87" t="s">
        <v>64</v>
      </c>
      <c r="D69" s="85" t="s">
        <v>65</v>
      </c>
      <c r="E69" s="78">
        <f aca="true" t="shared" si="21" ref="E69:E81">SUM(J69+F69)</f>
        <v>3000</v>
      </c>
      <c r="F69" s="93">
        <f aca="true" t="shared" si="22" ref="F69:F81">SUM(G69:I69)</f>
        <v>3000</v>
      </c>
      <c r="G69" s="78">
        <v>3000</v>
      </c>
      <c r="H69" s="78">
        <v>0</v>
      </c>
      <c r="I69" s="78">
        <v>0</v>
      </c>
      <c r="J69" s="74">
        <f aca="true" t="shared" si="23" ref="J69:J81">SUM(K69:M69)</f>
        <v>0</v>
      </c>
      <c r="K69" s="78">
        <v>0</v>
      </c>
      <c r="L69" s="78">
        <v>0</v>
      </c>
      <c r="M69" s="351">
        <v>0</v>
      </c>
    </row>
    <row r="70" spans="1:13" ht="15">
      <c r="A70" s="356"/>
      <c r="B70" s="87">
        <v>80111</v>
      </c>
      <c r="C70" s="87"/>
      <c r="D70" s="89" t="s">
        <v>84</v>
      </c>
      <c r="E70" s="78">
        <f t="shared" si="21"/>
        <v>3500</v>
      </c>
      <c r="F70" s="93">
        <f t="shared" si="22"/>
        <v>3500</v>
      </c>
      <c r="G70" s="78">
        <f>G71</f>
        <v>3500</v>
      </c>
      <c r="H70" s="78">
        <f>H71</f>
        <v>0</v>
      </c>
      <c r="I70" s="78">
        <f>I71</f>
        <v>0</v>
      </c>
      <c r="J70" s="74">
        <f t="shared" si="23"/>
        <v>0</v>
      </c>
      <c r="K70" s="78">
        <f>K71</f>
        <v>0</v>
      </c>
      <c r="L70" s="78">
        <f>L71</f>
        <v>0</v>
      </c>
      <c r="M70" s="351">
        <f>M71</f>
        <v>0</v>
      </c>
    </row>
    <row r="71" spans="1:13" ht="63.75" customHeight="1">
      <c r="A71" s="356"/>
      <c r="B71" s="87"/>
      <c r="C71" s="87" t="s">
        <v>64</v>
      </c>
      <c r="D71" s="85" t="s">
        <v>65</v>
      </c>
      <c r="E71" s="78">
        <f t="shared" si="21"/>
        <v>3500</v>
      </c>
      <c r="F71" s="93">
        <f t="shared" si="22"/>
        <v>3500</v>
      </c>
      <c r="G71" s="78">
        <v>3500</v>
      </c>
      <c r="H71" s="78">
        <v>0</v>
      </c>
      <c r="I71" s="78">
        <v>0</v>
      </c>
      <c r="J71" s="74">
        <f t="shared" si="23"/>
        <v>0</v>
      </c>
      <c r="K71" s="78">
        <v>0</v>
      </c>
      <c r="L71" s="78">
        <v>0</v>
      </c>
      <c r="M71" s="351">
        <v>0</v>
      </c>
    </row>
    <row r="72" spans="1:13" ht="15">
      <c r="A72" s="356"/>
      <c r="B72" s="87">
        <v>80120</v>
      </c>
      <c r="C72" s="87"/>
      <c r="D72" s="89" t="s">
        <v>85</v>
      </c>
      <c r="E72" s="78">
        <f t="shared" si="21"/>
        <v>24000</v>
      </c>
      <c r="F72" s="93">
        <f t="shared" si="22"/>
        <v>24000</v>
      </c>
      <c r="G72" s="78">
        <f>G73+G74</f>
        <v>24000</v>
      </c>
      <c r="H72" s="78">
        <f>H73+H74</f>
        <v>0</v>
      </c>
      <c r="I72" s="78">
        <f>I73+I74</f>
        <v>0</v>
      </c>
      <c r="J72" s="74">
        <f t="shared" si="23"/>
        <v>0</v>
      </c>
      <c r="K72" s="78">
        <f>K73+K74</f>
        <v>0</v>
      </c>
      <c r="L72" s="78">
        <f>L73+L74</f>
        <v>0</v>
      </c>
      <c r="M72" s="351">
        <f>M73+M74</f>
        <v>0</v>
      </c>
    </row>
    <row r="73" spans="1:13" ht="67.5" customHeight="1">
      <c r="A73" s="356"/>
      <c r="B73" s="87"/>
      <c r="C73" s="87" t="s">
        <v>64</v>
      </c>
      <c r="D73" s="85" t="s">
        <v>86</v>
      </c>
      <c r="E73" s="78">
        <f t="shared" si="21"/>
        <v>14000</v>
      </c>
      <c r="F73" s="93">
        <f t="shared" si="22"/>
        <v>14000</v>
      </c>
      <c r="G73" s="78">
        <f>14000</f>
        <v>14000</v>
      </c>
      <c r="H73" s="78">
        <v>0</v>
      </c>
      <c r="I73" s="78">
        <v>0</v>
      </c>
      <c r="J73" s="74">
        <f t="shared" si="23"/>
        <v>0</v>
      </c>
      <c r="K73" s="78">
        <v>0</v>
      </c>
      <c r="L73" s="78">
        <v>0</v>
      </c>
      <c r="M73" s="351">
        <v>0</v>
      </c>
    </row>
    <row r="74" spans="1:13" ht="15">
      <c r="A74" s="356"/>
      <c r="B74" s="87"/>
      <c r="C74" s="87" t="s">
        <v>66</v>
      </c>
      <c r="D74" s="89" t="s">
        <v>67</v>
      </c>
      <c r="E74" s="78">
        <f t="shared" si="21"/>
        <v>10000</v>
      </c>
      <c r="F74" s="93">
        <f t="shared" si="22"/>
        <v>10000</v>
      </c>
      <c r="G74" s="78">
        <f>10000</f>
        <v>10000</v>
      </c>
      <c r="H74" s="78">
        <v>0</v>
      </c>
      <c r="I74" s="78">
        <v>0</v>
      </c>
      <c r="J74" s="93">
        <f t="shared" si="23"/>
        <v>0</v>
      </c>
      <c r="K74" s="78">
        <v>0</v>
      </c>
      <c r="L74" s="78">
        <v>0</v>
      </c>
      <c r="M74" s="351">
        <v>0</v>
      </c>
    </row>
    <row r="75" spans="1:13" ht="15">
      <c r="A75" s="356"/>
      <c r="B75" s="87">
        <v>80130</v>
      </c>
      <c r="C75" s="87"/>
      <c r="D75" s="89" t="s">
        <v>87</v>
      </c>
      <c r="E75" s="78">
        <f>SUM(J75+F75)</f>
        <v>93200</v>
      </c>
      <c r="F75" s="93">
        <f>SUM(G75:I75)</f>
        <v>93200</v>
      </c>
      <c r="G75" s="78">
        <f>G77+G79+G76+G78</f>
        <v>93200</v>
      </c>
      <c r="H75" s="78">
        <f>H77+H79+H76+H78</f>
        <v>0</v>
      </c>
      <c r="I75" s="78">
        <f>I77+I79+I76+I78</f>
        <v>0</v>
      </c>
      <c r="J75" s="74">
        <f t="shared" si="23"/>
        <v>0</v>
      </c>
      <c r="K75" s="78">
        <f>K77+K79</f>
        <v>0</v>
      </c>
      <c r="L75" s="78">
        <f>L77+L79</f>
        <v>0</v>
      </c>
      <c r="M75" s="351">
        <f>M77+M79</f>
        <v>0</v>
      </c>
    </row>
    <row r="76" spans="1:13" ht="15">
      <c r="A76" s="356"/>
      <c r="B76" s="87"/>
      <c r="C76" s="84" t="s">
        <v>62</v>
      </c>
      <c r="D76" s="95" t="s">
        <v>63</v>
      </c>
      <c r="E76" s="78">
        <f>SUM(J76+F76)</f>
        <v>1000</v>
      </c>
      <c r="F76" s="93">
        <f>SUM(G76:I76)</f>
        <v>1000</v>
      </c>
      <c r="G76" s="78">
        <f>1000</f>
        <v>1000</v>
      </c>
      <c r="H76" s="78">
        <v>0</v>
      </c>
      <c r="I76" s="78">
        <v>0</v>
      </c>
      <c r="J76" s="74">
        <f>SUM(K76:M76)</f>
        <v>0</v>
      </c>
      <c r="K76" s="78"/>
      <c r="L76" s="78">
        <v>0</v>
      </c>
      <c r="M76" s="351">
        <v>0</v>
      </c>
    </row>
    <row r="77" spans="1:13" ht="69" customHeight="1">
      <c r="A77" s="356"/>
      <c r="B77" s="87"/>
      <c r="C77" s="87" t="s">
        <v>64</v>
      </c>
      <c r="D77" s="85" t="s">
        <v>86</v>
      </c>
      <c r="E77" s="78">
        <f t="shared" si="21"/>
        <v>80000</v>
      </c>
      <c r="F77" s="93">
        <f t="shared" si="22"/>
        <v>80000</v>
      </c>
      <c r="G77" s="78">
        <f>80000</f>
        <v>80000</v>
      </c>
      <c r="H77" s="78">
        <v>0</v>
      </c>
      <c r="I77" s="78">
        <v>0</v>
      </c>
      <c r="J77" s="93">
        <f t="shared" si="23"/>
        <v>0</v>
      </c>
      <c r="K77" s="78">
        <v>0</v>
      </c>
      <c r="L77" s="78">
        <v>0</v>
      </c>
      <c r="M77" s="351">
        <v>0</v>
      </c>
    </row>
    <row r="78" spans="1:13" ht="15">
      <c r="A78" s="356"/>
      <c r="B78" s="87"/>
      <c r="C78" s="84" t="s">
        <v>311</v>
      </c>
      <c r="D78" s="85" t="s">
        <v>67</v>
      </c>
      <c r="E78" s="78">
        <f t="shared" si="21"/>
        <v>4000</v>
      </c>
      <c r="F78" s="93">
        <f t="shared" si="22"/>
        <v>4000</v>
      </c>
      <c r="G78" s="78">
        <f>4000</f>
        <v>4000</v>
      </c>
      <c r="H78" s="78">
        <v>0</v>
      </c>
      <c r="I78" s="78">
        <v>0</v>
      </c>
      <c r="J78" s="74">
        <f>SUM(K78:M78)</f>
        <v>0</v>
      </c>
      <c r="K78" s="78">
        <v>0</v>
      </c>
      <c r="L78" s="78">
        <v>0</v>
      </c>
      <c r="M78" s="351">
        <v>0</v>
      </c>
    </row>
    <row r="79" spans="1:13" ht="15">
      <c r="A79" s="356"/>
      <c r="B79" s="87"/>
      <c r="C79" s="87" t="s">
        <v>89</v>
      </c>
      <c r="D79" s="89" t="s">
        <v>90</v>
      </c>
      <c r="E79" s="78">
        <f t="shared" si="21"/>
        <v>8200</v>
      </c>
      <c r="F79" s="93">
        <f t="shared" si="22"/>
        <v>8200</v>
      </c>
      <c r="G79" s="78">
        <f>8200</f>
        <v>8200</v>
      </c>
      <c r="H79" s="78">
        <v>0</v>
      </c>
      <c r="I79" s="78">
        <v>0</v>
      </c>
      <c r="J79" s="74">
        <f t="shared" si="23"/>
        <v>0</v>
      </c>
      <c r="K79" s="78">
        <v>0</v>
      </c>
      <c r="L79" s="78">
        <v>0</v>
      </c>
      <c r="M79" s="351">
        <v>0</v>
      </c>
    </row>
    <row r="80" spans="1:13" ht="15">
      <c r="A80" s="356"/>
      <c r="B80" s="87">
        <v>80134</v>
      </c>
      <c r="C80" s="87"/>
      <c r="D80" s="89" t="s">
        <v>91</v>
      </c>
      <c r="E80" s="78">
        <f t="shared" si="21"/>
        <v>3000</v>
      </c>
      <c r="F80" s="93">
        <f t="shared" si="22"/>
        <v>3000</v>
      </c>
      <c r="G80" s="78">
        <f>G81</f>
        <v>3000</v>
      </c>
      <c r="H80" s="78">
        <v>0</v>
      </c>
      <c r="I80" s="78">
        <f>I81</f>
        <v>0</v>
      </c>
      <c r="J80" s="74">
        <f t="shared" si="23"/>
        <v>0</v>
      </c>
      <c r="K80" s="78">
        <f>K81</f>
        <v>0</v>
      </c>
      <c r="L80" s="78">
        <v>0</v>
      </c>
      <c r="M80" s="351">
        <f>M81</f>
        <v>0</v>
      </c>
    </row>
    <row r="81" spans="1:13" ht="60">
      <c r="A81" s="356"/>
      <c r="B81" s="87"/>
      <c r="C81" s="87" t="s">
        <v>64</v>
      </c>
      <c r="D81" s="85" t="s">
        <v>86</v>
      </c>
      <c r="E81" s="78">
        <f t="shared" si="21"/>
        <v>3000</v>
      </c>
      <c r="F81" s="93">
        <f t="shared" si="22"/>
        <v>3000</v>
      </c>
      <c r="G81" s="78">
        <f>3000</f>
        <v>3000</v>
      </c>
      <c r="H81" s="78">
        <v>0</v>
      </c>
      <c r="I81" s="78">
        <v>0</v>
      </c>
      <c r="J81" s="93">
        <f t="shared" si="23"/>
        <v>0</v>
      </c>
      <c r="K81" s="78">
        <v>0</v>
      </c>
      <c r="L81" s="78">
        <v>0</v>
      </c>
      <c r="M81" s="351">
        <v>0</v>
      </c>
    </row>
    <row r="82" spans="1:13" ht="15">
      <c r="A82" s="348"/>
      <c r="B82" s="70">
        <v>80144</v>
      </c>
      <c r="C82" s="70"/>
      <c r="D82" s="71" t="s">
        <v>187</v>
      </c>
      <c r="E82" s="73">
        <f>SUM(J82+F82)</f>
        <v>480000</v>
      </c>
      <c r="F82" s="74">
        <f>SUM(G82:I82)</f>
        <v>480000</v>
      </c>
      <c r="G82" s="73">
        <f>SUM(G83)</f>
        <v>480000</v>
      </c>
      <c r="H82" s="73">
        <f aca="true" t="shared" si="24" ref="H82:M82">SUM(H83)</f>
        <v>0</v>
      </c>
      <c r="I82" s="73">
        <f t="shared" si="24"/>
        <v>0</v>
      </c>
      <c r="J82" s="384">
        <f t="shared" si="24"/>
        <v>0</v>
      </c>
      <c r="K82" s="73">
        <f t="shared" si="24"/>
        <v>0</v>
      </c>
      <c r="L82" s="73">
        <f t="shared" si="24"/>
        <v>0</v>
      </c>
      <c r="M82" s="349">
        <f t="shared" si="24"/>
        <v>0</v>
      </c>
    </row>
    <row r="83" spans="1:13" ht="15.75" thickBot="1">
      <c r="A83" s="357"/>
      <c r="B83" s="76"/>
      <c r="C83" s="76" t="s">
        <v>66</v>
      </c>
      <c r="D83" s="97" t="s">
        <v>67</v>
      </c>
      <c r="E83" s="91">
        <f>SUM(J83+F83)</f>
        <v>480000</v>
      </c>
      <c r="F83" s="92">
        <f>SUM(G83:I83)</f>
        <v>480000</v>
      </c>
      <c r="G83" s="91">
        <f>480000</f>
        <v>480000</v>
      </c>
      <c r="H83" s="91">
        <v>0</v>
      </c>
      <c r="I83" s="91">
        <v>0</v>
      </c>
      <c r="J83" s="92">
        <f>SUM(K83:M83)</f>
        <v>0</v>
      </c>
      <c r="K83" s="91">
        <v>0</v>
      </c>
      <c r="L83" s="91">
        <v>0</v>
      </c>
      <c r="M83" s="358">
        <v>0</v>
      </c>
    </row>
    <row r="84" spans="1:13" ht="18" thickBot="1" thickTop="1">
      <c r="A84" s="346">
        <v>851</v>
      </c>
      <c r="B84" s="66"/>
      <c r="C84" s="66"/>
      <c r="D84" s="67" t="s">
        <v>13</v>
      </c>
      <c r="E84" s="98">
        <f>SUM(E85)</f>
        <v>1672000</v>
      </c>
      <c r="F84" s="99">
        <f aca="true" t="shared" si="25" ref="F84:M84">SUM(F85)</f>
        <v>1672000</v>
      </c>
      <c r="G84" s="98">
        <f t="shared" si="25"/>
        <v>0</v>
      </c>
      <c r="H84" s="98">
        <f t="shared" si="25"/>
        <v>1672000</v>
      </c>
      <c r="I84" s="98">
        <f t="shared" si="25"/>
        <v>0</v>
      </c>
      <c r="J84" s="99">
        <f t="shared" si="25"/>
        <v>0</v>
      </c>
      <c r="K84" s="98">
        <f t="shared" si="25"/>
        <v>0</v>
      </c>
      <c r="L84" s="98">
        <f t="shared" si="25"/>
        <v>0</v>
      </c>
      <c r="M84" s="360">
        <f t="shared" si="25"/>
        <v>0</v>
      </c>
    </row>
    <row r="85" spans="1:13" ht="30.75" thickTop="1">
      <c r="A85" s="348"/>
      <c r="B85" s="70">
        <v>85156</v>
      </c>
      <c r="C85" s="70"/>
      <c r="D85" s="72" t="s">
        <v>92</v>
      </c>
      <c r="E85" s="78">
        <f>SUM(J85+F85)</f>
        <v>1672000</v>
      </c>
      <c r="F85" s="93">
        <f>SUM(G85:I85)</f>
        <v>1672000</v>
      </c>
      <c r="G85" s="73">
        <f>G86</f>
        <v>0</v>
      </c>
      <c r="H85" s="73">
        <f>H86</f>
        <v>1672000</v>
      </c>
      <c r="I85" s="73">
        <f>I86</f>
        <v>0</v>
      </c>
      <c r="J85" s="100">
        <f>SUM(K85:M85)</f>
        <v>0</v>
      </c>
      <c r="K85" s="73">
        <f>K86</f>
        <v>0</v>
      </c>
      <c r="L85" s="73">
        <f>L86</f>
        <v>0</v>
      </c>
      <c r="M85" s="349">
        <f>M86</f>
        <v>0</v>
      </c>
    </row>
    <row r="86" spans="1:13" ht="45">
      <c r="A86" s="356"/>
      <c r="B86" s="87"/>
      <c r="C86" s="87">
        <v>2110</v>
      </c>
      <c r="D86" s="85" t="s">
        <v>93</v>
      </c>
      <c r="E86" s="78">
        <f>SUM(E87:E88)</f>
        <v>1672000</v>
      </c>
      <c r="F86" s="93">
        <f aca="true" t="shared" si="26" ref="F86:M86">SUM(F87:F88)</f>
        <v>1672000</v>
      </c>
      <c r="G86" s="78">
        <f t="shared" si="26"/>
        <v>0</v>
      </c>
      <c r="H86" s="78">
        <f t="shared" si="26"/>
        <v>1672000</v>
      </c>
      <c r="I86" s="101">
        <f t="shared" si="26"/>
        <v>0</v>
      </c>
      <c r="J86" s="100">
        <f t="shared" si="26"/>
        <v>0</v>
      </c>
      <c r="K86" s="101">
        <f t="shared" si="26"/>
        <v>0</v>
      </c>
      <c r="L86" s="101">
        <f t="shared" si="26"/>
        <v>0</v>
      </c>
      <c r="M86" s="361">
        <f t="shared" si="26"/>
        <v>0</v>
      </c>
    </row>
    <row r="87" spans="1:13" ht="16.5">
      <c r="A87" s="356"/>
      <c r="B87" s="87"/>
      <c r="C87" s="87"/>
      <c r="D87" s="89" t="s">
        <v>94</v>
      </c>
      <c r="E87" s="78">
        <f>SUM(J87+F87)</f>
        <v>1659000</v>
      </c>
      <c r="F87" s="93">
        <f>SUM(G87:I87)</f>
        <v>1659000</v>
      </c>
      <c r="G87" s="78">
        <v>0</v>
      </c>
      <c r="H87" s="78">
        <v>1659000</v>
      </c>
      <c r="I87" s="78">
        <v>0</v>
      </c>
      <c r="J87" s="100">
        <f>SUM(K87:M87)</f>
        <v>0</v>
      </c>
      <c r="K87" s="78">
        <v>0</v>
      </c>
      <c r="L87" s="78">
        <v>0</v>
      </c>
      <c r="M87" s="351">
        <v>0</v>
      </c>
    </row>
    <row r="88" spans="1:13" ht="17.25" thickBot="1">
      <c r="A88" s="350"/>
      <c r="B88" s="75"/>
      <c r="C88" s="75"/>
      <c r="D88" s="102" t="s">
        <v>95</v>
      </c>
      <c r="E88" s="94">
        <f>SUM(J88+F88)</f>
        <v>13000</v>
      </c>
      <c r="F88" s="103">
        <f>SUM(G88:I88)</f>
        <v>13000</v>
      </c>
      <c r="G88" s="88">
        <v>0</v>
      </c>
      <c r="H88" s="88">
        <v>13000</v>
      </c>
      <c r="I88" s="88">
        <v>0</v>
      </c>
      <c r="J88" s="104">
        <f>SUM(K88:M88)</f>
        <v>0</v>
      </c>
      <c r="K88" s="88">
        <v>0</v>
      </c>
      <c r="L88" s="88">
        <v>0</v>
      </c>
      <c r="M88" s="359">
        <v>0</v>
      </c>
    </row>
    <row r="89" spans="1:13" ht="18" thickBot="1" thickTop="1">
      <c r="A89" s="355">
        <v>852</v>
      </c>
      <c r="B89" s="86"/>
      <c r="C89" s="86"/>
      <c r="D89" s="81" t="s">
        <v>96</v>
      </c>
      <c r="E89" s="68">
        <f>SUM(E90+E95+E100+E98+E102)</f>
        <v>3250314</v>
      </c>
      <c r="F89" s="381">
        <f>SUM(F90+F95+F100+F98+F102)</f>
        <v>3250314</v>
      </c>
      <c r="G89" s="68">
        <f>SUM(G90+G95+G100+G98+G102)</f>
        <v>3242814</v>
      </c>
      <c r="H89" s="68">
        <f>SUM(H90+H95+H100+H98+H102)</f>
        <v>7500</v>
      </c>
      <c r="I89" s="68">
        <f>SUM(I90+I95+I100+I98+I102)</f>
        <v>0</v>
      </c>
      <c r="J89" s="69">
        <f>SUM(J90+J95+J100)</f>
        <v>0</v>
      </c>
      <c r="K89" s="68">
        <f>SUM(K90+K95+K100)</f>
        <v>0</v>
      </c>
      <c r="L89" s="68">
        <f>SUM(L90+L95+L100)</f>
        <v>0</v>
      </c>
      <c r="M89" s="347">
        <f>SUM(M90+M95+M100)</f>
        <v>0</v>
      </c>
    </row>
    <row r="90" spans="1:13" ht="15.75" thickTop="1">
      <c r="A90" s="348"/>
      <c r="B90" s="70">
        <v>85201</v>
      </c>
      <c r="C90" s="70"/>
      <c r="D90" s="71" t="s">
        <v>97</v>
      </c>
      <c r="E90" s="78">
        <f aca="true" t="shared" si="27" ref="E90:E97">SUM(J90+F90)</f>
        <v>494090</v>
      </c>
      <c r="F90" s="74">
        <f aca="true" t="shared" si="28" ref="F90:F113">SUM(G90:I90)</f>
        <v>494090</v>
      </c>
      <c r="G90" s="73">
        <f>SUM(G91:G94)</f>
        <v>494090</v>
      </c>
      <c r="H90" s="73">
        <f>SUM(H91:H94)</f>
        <v>0</v>
      </c>
      <c r="I90" s="73">
        <f>SUM(I91:I94)</f>
        <v>0</v>
      </c>
      <c r="J90" s="74">
        <f aca="true" t="shared" si="29" ref="J90:J101">SUM(K90:M90)</f>
        <v>0</v>
      </c>
      <c r="K90" s="73">
        <f>SUM(K91:K94)</f>
        <v>0</v>
      </c>
      <c r="L90" s="73">
        <f>SUM(L91:L94)</f>
        <v>0</v>
      </c>
      <c r="M90" s="349">
        <f>SUM(M91:M94)</f>
        <v>0</v>
      </c>
    </row>
    <row r="91" spans="1:13" ht="15">
      <c r="A91" s="356"/>
      <c r="B91" s="87"/>
      <c r="C91" s="87" t="s">
        <v>66</v>
      </c>
      <c r="D91" s="89" t="s">
        <v>88</v>
      </c>
      <c r="E91" s="78">
        <f t="shared" si="27"/>
        <v>50150</v>
      </c>
      <c r="F91" s="74">
        <f t="shared" si="28"/>
        <v>50150</v>
      </c>
      <c r="G91" s="78">
        <f>150+50000</f>
        <v>50150</v>
      </c>
      <c r="H91" s="78">
        <v>0</v>
      </c>
      <c r="I91" s="78">
        <v>0</v>
      </c>
      <c r="J91" s="74">
        <f t="shared" si="29"/>
        <v>0</v>
      </c>
      <c r="K91" s="78">
        <v>0</v>
      </c>
      <c r="L91" s="78">
        <v>0</v>
      </c>
      <c r="M91" s="351">
        <v>0</v>
      </c>
    </row>
    <row r="92" spans="1:13" ht="15">
      <c r="A92" s="356"/>
      <c r="B92" s="87"/>
      <c r="C92" s="84" t="s">
        <v>68</v>
      </c>
      <c r="D92" s="95" t="s">
        <v>69</v>
      </c>
      <c r="E92" s="78">
        <f t="shared" si="27"/>
        <v>3000</v>
      </c>
      <c r="F92" s="74">
        <f t="shared" si="28"/>
        <v>3000</v>
      </c>
      <c r="G92" s="78">
        <v>3000</v>
      </c>
      <c r="H92" s="78">
        <v>0</v>
      </c>
      <c r="I92" s="78">
        <v>0</v>
      </c>
      <c r="J92" s="74">
        <f t="shared" si="29"/>
        <v>0</v>
      </c>
      <c r="K92" s="78">
        <v>0</v>
      </c>
      <c r="L92" s="78">
        <v>0</v>
      </c>
      <c r="M92" s="351">
        <v>0</v>
      </c>
    </row>
    <row r="93" spans="1:13" ht="15">
      <c r="A93" s="356"/>
      <c r="B93" s="87"/>
      <c r="C93" s="84" t="s">
        <v>245</v>
      </c>
      <c r="D93" s="77" t="s">
        <v>294</v>
      </c>
      <c r="E93" s="78">
        <f t="shared" si="27"/>
        <v>300</v>
      </c>
      <c r="F93" s="74">
        <f t="shared" si="28"/>
        <v>300</v>
      </c>
      <c r="G93" s="78">
        <v>300</v>
      </c>
      <c r="H93" s="78">
        <v>0</v>
      </c>
      <c r="I93" s="78">
        <v>0</v>
      </c>
      <c r="J93" s="74">
        <f t="shared" si="29"/>
        <v>0</v>
      </c>
      <c r="K93" s="78">
        <v>0</v>
      </c>
      <c r="L93" s="78">
        <v>0</v>
      </c>
      <c r="M93" s="351">
        <v>0</v>
      </c>
    </row>
    <row r="94" spans="1:13" ht="45">
      <c r="A94" s="356"/>
      <c r="B94" s="87"/>
      <c r="C94" s="87">
        <v>2320</v>
      </c>
      <c r="D94" s="85" t="s">
        <v>99</v>
      </c>
      <c r="E94" s="78">
        <f t="shared" si="27"/>
        <v>440640</v>
      </c>
      <c r="F94" s="74">
        <f t="shared" si="28"/>
        <v>440640</v>
      </c>
      <c r="G94" s="78">
        <v>440640</v>
      </c>
      <c r="H94" s="78">
        <v>0</v>
      </c>
      <c r="I94" s="78">
        <v>0</v>
      </c>
      <c r="J94" s="74">
        <f t="shared" si="29"/>
        <v>0</v>
      </c>
      <c r="K94" s="78">
        <v>0</v>
      </c>
      <c r="L94" s="78">
        <v>0</v>
      </c>
      <c r="M94" s="351">
        <v>0</v>
      </c>
    </row>
    <row r="95" spans="1:13" ht="15">
      <c r="A95" s="356"/>
      <c r="B95" s="87">
        <v>85202</v>
      </c>
      <c r="C95" s="87"/>
      <c r="D95" s="89" t="s">
        <v>100</v>
      </c>
      <c r="E95" s="78">
        <f t="shared" si="27"/>
        <v>2603000</v>
      </c>
      <c r="F95" s="74">
        <f>SUM(G95:I95)</f>
        <v>2603000</v>
      </c>
      <c r="G95" s="78">
        <f>SUM(G96+G97)</f>
        <v>2603000</v>
      </c>
      <c r="H95" s="78">
        <f>SUM(H96+H97)</f>
        <v>0</v>
      </c>
      <c r="I95" s="78">
        <f>SUM(I96+I97)</f>
        <v>0</v>
      </c>
      <c r="J95" s="74">
        <f t="shared" si="29"/>
        <v>0</v>
      </c>
      <c r="K95" s="78">
        <f>SUM(K96:K97)</f>
        <v>0</v>
      </c>
      <c r="L95" s="78">
        <f>SUM(L96:L97)</f>
        <v>0</v>
      </c>
      <c r="M95" s="351">
        <f>SUM(M96:M97)</f>
        <v>0</v>
      </c>
    </row>
    <row r="96" spans="1:13" ht="15">
      <c r="A96" s="356"/>
      <c r="B96" s="87"/>
      <c r="C96" s="87" t="s">
        <v>66</v>
      </c>
      <c r="D96" s="89" t="s">
        <v>67</v>
      </c>
      <c r="E96" s="78">
        <f t="shared" si="27"/>
        <v>1750000</v>
      </c>
      <c r="F96" s="74">
        <f t="shared" si="28"/>
        <v>1750000</v>
      </c>
      <c r="G96" s="78">
        <f>1550000+200000</f>
        <v>1750000</v>
      </c>
      <c r="H96" s="78">
        <v>0</v>
      </c>
      <c r="I96" s="78">
        <v>0</v>
      </c>
      <c r="J96" s="74">
        <f t="shared" si="29"/>
        <v>0</v>
      </c>
      <c r="K96" s="78">
        <v>0</v>
      </c>
      <c r="L96" s="78">
        <v>0</v>
      </c>
      <c r="M96" s="351">
        <v>0</v>
      </c>
    </row>
    <row r="97" spans="1:13" ht="30">
      <c r="A97" s="356"/>
      <c r="B97" s="87"/>
      <c r="C97" s="87">
        <v>2130</v>
      </c>
      <c r="D97" s="85" t="s">
        <v>101</v>
      </c>
      <c r="E97" s="78">
        <f t="shared" si="27"/>
        <v>853000</v>
      </c>
      <c r="F97" s="74">
        <f t="shared" si="28"/>
        <v>853000</v>
      </c>
      <c r="G97" s="78">
        <v>853000</v>
      </c>
      <c r="H97" s="78">
        <v>0</v>
      </c>
      <c r="I97" s="78">
        <v>0</v>
      </c>
      <c r="J97" s="74">
        <f t="shared" si="29"/>
        <v>0</v>
      </c>
      <c r="K97" s="78">
        <v>0</v>
      </c>
      <c r="L97" s="78">
        <v>0</v>
      </c>
      <c r="M97" s="351">
        <v>0</v>
      </c>
    </row>
    <row r="98" spans="1:13" ht="15">
      <c r="A98" s="356"/>
      <c r="B98" s="87">
        <v>85204</v>
      </c>
      <c r="C98" s="87"/>
      <c r="D98" s="89" t="s">
        <v>167</v>
      </c>
      <c r="E98" s="78">
        <f aca="true" t="shared" si="30" ref="E98:E103">SUM(J98+F98)</f>
        <v>140324</v>
      </c>
      <c r="F98" s="74">
        <f t="shared" si="28"/>
        <v>140324</v>
      </c>
      <c r="G98" s="78">
        <f>SUM(G99:G100)</f>
        <v>140324</v>
      </c>
      <c r="H98" s="78">
        <f>SUM(H99)</f>
        <v>0</v>
      </c>
      <c r="I98" s="78">
        <f>SUM(I99:I100)</f>
        <v>0</v>
      </c>
      <c r="J98" s="74">
        <f t="shared" si="29"/>
        <v>0</v>
      </c>
      <c r="K98" s="78">
        <f>SUM(K99:K100)</f>
        <v>0</v>
      </c>
      <c r="L98" s="78">
        <f>SUM(L99:L100)</f>
        <v>0</v>
      </c>
      <c r="M98" s="351">
        <f>SUM(M99:M100)</f>
        <v>0</v>
      </c>
    </row>
    <row r="99" spans="1:13" ht="45">
      <c r="A99" s="356"/>
      <c r="B99" s="87"/>
      <c r="C99" s="87">
        <v>2320</v>
      </c>
      <c r="D99" s="85" t="s">
        <v>99</v>
      </c>
      <c r="E99" s="78">
        <f t="shared" si="30"/>
        <v>140324</v>
      </c>
      <c r="F99" s="74">
        <f t="shared" si="28"/>
        <v>140324</v>
      </c>
      <c r="G99" s="78">
        <v>140324</v>
      </c>
      <c r="H99" s="78">
        <v>0</v>
      </c>
      <c r="I99" s="78">
        <v>0</v>
      </c>
      <c r="J99" s="74">
        <f t="shared" si="29"/>
        <v>0</v>
      </c>
      <c r="K99" s="78">
        <v>0</v>
      </c>
      <c r="L99" s="78">
        <v>0</v>
      </c>
      <c r="M99" s="351">
        <v>0</v>
      </c>
    </row>
    <row r="100" spans="1:13" ht="15">
      <c r="A100" s="348"/>
      <c r="B100" s="70">
        <v>85205</v>
      </c>
      <c r="C100" s="70"/>
      <c r="D100" s="72" t="s">
        <v>275</v>
      </c>
      <c r="E100" s="73">
        <f t="shared" si="30"/>
        <v>7500</v>
      </c>
      <c r="F100" s="74">
        <f t="shared" si="28"/>
        <v>7500</v>
      </c>
      <c r="G100" s="73">
        <f>SUM(G101:G101)</f>
        <v>0</v>
      </c>
      <c r="H100" s="73">
        <f>SUM(H101:H101)</f>
        <v>7500</v>
      </c>
      <c r="I100" s="73">
        <f>SUM(I101:I101)</f>
        <v>0</v>
      </c>
      <c r="J100" s="74">
        <f t="shared" si="29"/>
        <v>0</v>
      </c>
      <c r="K100" s="73">
        <f>SUM(K101:K101)</f>
        <v>0</v>
      </c>
      <c r="L100" s="73">
        <f>SUM(L101:L101)</f>
        <v>0</v>
      </c>
      <c r="M100" s="349">
        <f>SUM(M101:M101)</f>
        <v>0</v>
      </c>
    </row>
    <row r="101" spans="1:13" ht="45">
      <c r="A101" s="350"/>
      <c r="B101" s="75"/>
      <c r="C101" s="75">
        <v>2110</v>
      </c>
      <c r="D101" s="77" t="s">
        <v>46</v>
      </c>
      <c r="E101" s="88">
        <f t="shared" si="30"/>
        <v>7500</v>
      </c>
      <c r="F101" s="103">
        <f t="shared" si="28"/>
        <v>7500</v>
      </c>
      <c r="G101" s="88">
        <v>0</v>
      </c>
      <c r="H101" s="88">
        <v>7500</v>
      </c>
      <c r="I101" s="88">
        <v>0</v>
      </c>
      <c r="J101" s="103">
        <f t="shared" si="29"/>
        <v>0</v>
      </c>
      <c r="K101" s="88">
        <v>0</v>
      </c>
      <c r="L101" s="88">
        <v>0</v>
      </c>
      <c r="M101" s="359">
        <v>0</v>
      </c>
    </row>
    <row r="102" spans="1:13" ht="30">
      <c r="A102" s="356"/>
      <c r="B102" s="87">
        <v>85220</v>
      </c>
      <c r="C102" s="87"/>
      <c r="D102" s="85" t="s">
        <v>271</v>
      </c>
      <c r="E102" s="78">
        <f t="shared" si="30"/>
        <v>5400</v>
      </c>
      <c r="F102" s="93">
        <f t="shared" si="28"/>
        <v>5400</v>
      </c>
      <c r="G102" s="78">
        <f>SUM(G103:G103)</f>
        <v>5400</v>
      </c>
      <c r="H102" s="78">
        <f>SUM(H103:H103)</f>
        <v>0</v>
      </c>
      <c r="I102" s="78">
        <f>SUM(I103:I103)</f>
        <v>0</v>
      </c>
      <c r="J102" s="93">
        <f>SUM(K102:M102)</f>
        <v>0</v>
      </c>
      <c r="K102" s="78">
        <f>SUM(K103:K103)</f>
        <v>0</v>
      </c>
      <c r="L102" s="78">
        <f>SUM(L103:L103)</f>
        <v>0</v>
      </c>
      <c r="M102" s="351">
        <f>SUM(M103:M103)</f>
        <v>0</v>
      </c>
    </row>
    <row r="103" spans="1:13" ht="60.75" thickBot="1">
      <c r="A103" s="357"/>
      <c r="B103" s="76"/>
      <c r="C103" s="76" t="s">
        <v>64</v>
      </c>
      <c r="D103" s="90" t="s">
        <v>86</v>
      </c>
      <c r="E103" s="91">
        <f t="shared" si="30"/>
        <v>5400</v>
      </c>
      <c r="F103" s="92">
        <f t="shared" si="28"/>
        <v>5400</v>
      </c>
      <c r="G103" s="91">
        <v>5400</v>
      </c>
      <c r="H103" s="91">
        <v>0</v>
      </c>
      <c r="I103" s="91">
        <v>0</v>
      </c>
      <c r="J103" s="92">
        <f>SUM(K103:M103)</f>
        <v>0</v>
      </c>
      <c r="K103" s="91">
        <v>0</v>
      </c>
      <c r="L103" s="91">
        <v>0</v>
      </c>
      <c r="M103" s="358">
        <v>0</v>
      </c>
    </row>
    <row r="104" spans="1:13" ht="34.5" thickBot="1" thickTop="1">
      <c r="A104" s="355">
        <v>853</v>
      </c>
      <c r="B104" s="105"/>
      <c r="C104" s="105"/>
      <c r="D104" s="96" t="s">
        <v>18</v>
      </c>
      <c r="E104" s="68">
        <f aca="true" t="shared" si="31" ref="E104:E109">G104+H104+I104</f>
        <v>2972730</v>
      </c>
      <c r="F104" s="69">
        <f t="shared" si="28"/>
        <v>2972730</v>
      </c>
      <c r="G104" s="68">
        <f>G107+G109+G111+G113+G105</f>
        <v>2913730</v>
      </c>
      <c r="H104" s="68">
        <f>H107+H109+H111+H113+H105</f>
        <v>59000</v>
      </c>
      <c r="I104" s="68">
        <f>I107+I109+I111+I113+I105</f>
        <v>0</v>
      </c>
      <c r="J104" s="69">
        <f>J107+J109+J111</f>
        <v>0</v>
      </c>
      <c r="K104" s="68">
        <f>K107</f>
        <v>0</v>
      </c>
      <c r="L104" s="68">
        <f>L107</f>
        <v>0</v>
      </c>
      <c r="M104" s="347">
        <f>M107</f>
        <v>0</v>
      </c>
    </row>
    <row r="105" spans="1:13" ht="30.75" thickTop="1">
      <c r="A105" s="379"/>
      <c r="B105" s="107">
        <v>85311</v>
      </c>
      <c r="C105" s="107"/>
      <c r="D105" s="171" t="s">
        <v>169</v>
      </c>
      <c r="E105" s="73">
        <f t="shared" si="31"/>
        <v>28770</v>
      </c>
      <c r="F105" s="74">
        <f t="shared" si="28"/>
        <v>28770</v>
      </c>
      <c r="G105" s="73">
        <f>SUM(G106)</f>
        <v>28770</v>
      </c>
      <c r="H105" s="73">
        <f>H106</f>
        <v>0</v>
      </c>
      <c r="I105" s="73">
        <f>I106</f>
        <v>0</v>
      </c>
      <c r="J105" s="74">
        <f aca="true" t="shared" si="32" ref="J105:J110">SUM(K105:M105)</f>
        <v>0</v>
      </c>
      <c r="K105" s="73">
        <v>0</v>
      </c>
      <c r="L105" s="73">
        <f>L106</f>
        <v>0</v>
      </c>
      <c r="M105" s="349">
        <f>M106</f>
        <v>0</v>
      </c>
    </row>
    <row r="106" spans="1:13" ht="45">
      <c r="A106" s="380"/>
      <c r="B106" s="87"/>
      <c r="C106" s="87">
        <v>2310</v>
      </c>
      <c r="D106" s="85" t="s">
        <v>282</v>
      </c>
      <c r="E106" s="78">
        <f t="shared" si="31"/>
        <v>28770</v>
      </c>
      <c r="F106" s="93">
        <f t="shared" si="28"/>
        <v>28770</v>
      </c>
      <c r="G106" s="78">
        <v>28770</v>
      </c>
      <c r="H106" s="78"/>
      <c r="I106" s="78">
        <v>0</v>
      </c>
      <c r="J106" s="93">
        <f t="shared" si="32"/>
        <v>0</v>
      </c>
      <c r="K106" s="78">
        <v>0</v>
      </c>
      <c r="L106" s="78">
        <v>0</v>
      </c>
      <c r="M106" s="351">
        <v>0</v>
      </c>
    </row>
    <row r="107" spans="1:13" ht="15">
      <c r="A107" s="348"/>
      <c r="B107" s="70">
        <v>85321</v>
      </c>
      <c r="C107" s="70"/>
      <c r="D107" s="72" t="s">
        <v>102</v>
      </c>
      <c r="E107" s="73">
        <f t="shared" si="31"/>
        <v>59000</v>
      </c>
      <c r="F107" s="74">
        <f t="shared" si="28"/>
        <v>59000</v>
      </c>
      <c r="G107" s="73">
        <v>0</v>
      </c>
      <c r="H107" s="73">
        <f>H108</f>
        <v>59000</v>
      </c>
      <c r="I107" s="73">
        <f>I108</f>
        <v>0</v>
      </c>
      <c r="J107" s="74">
        <f t="shared" si="32"/>
        <v>0</v>
      </c>
      <c r="K107" s="73">
        <v>0</v>
      </c>
      <c r="L107" s="73">
        <f>L108</f>
        <v>0</v>
      </c>
      <c r="M107" s="349">
        <f>M108</f>
        <v>0</v>
      </c>
    </row>
    <row r="108" spans="1:13" ht="45">
      <c r="A108" s="356"/>
      <c r="B108" s="87"/>
      <c r="C108" s="87">
        <v>2110</v>
      </c>
      <c r="D108" s="85" t="s">
        <v>46</v>
      </c>
      <c r="E108" s="78">
        <f t="shared" si="31"/>
        <v>59000</v>
      </c>
      <c r="F108" s="93">
        <f t="shared" si="28"/>
        <v>59000</v>
      </c>
      <c r="G108" s="78">
        <v>0</v>
      </c>
      <c r="H108" s="78">
        <v>59000</v>
      </c>
      <c r="I108" s="78">
        <v>0</v>
      </c>
      <c r="J108" s="93">
        <f t="shared" si="32"/>
        <v>0</v>
      </c>
      <c r="K108" s="78">
        <v>0</v>
      </c>
      <c r="L108" s="78">
        <v>0</v>
      </c>
      <c r="M108" s="351">
        <v>0</v>
      </c>
    </row>
    <row r="109" spans="1:13" ht="15">
      <c r="A109" s="348"/>
      <c r="B109" s="70">
        <v>85324</v>
      </c>
      <c r="C109" s="70"/>
      <c r="D109" s="72" t="s">
        <v>103</v>
      </c>
      <c r="E109" s="73">
        <f t="shared" si="31"/>
        <v>20000</v>
      </c>
      <c r="F109" s="74">
        <f t="shared" si="28"/>
        <v>20000</v>
      </c>
      <c r="G109" s="73">
        <f>SUM(G110)</f>
        <v>20000</v>
      </c>
      <c r="H109" s="73">
        <f>SUM(H110)</f>
        <v>0</v>
      </c>
      <c r="I109" s="73">
        <f>SUM(I110)</f>
        <v>0</v>
      </c>
      <c r="J109" s="74">
        <f t="shared" si="32"/>
        <v>0</v>
      </c>
      <c r="K109" s="73">
        <v>0</v>
      </c>
      <c r="L109" s="73">
        <f>L112</f>
        <v>0</v>
      </c>
      <c r="M109" s="349">
        <f>M112</f>
        <v>0</v>
      </c>
    </row>
    <row r="110" spans="1:13" ht="15">
      <c r="A110" s="356"/>
      <c r="B110" s="87"/>
      <c r="C110" s="87" t="s">
        <v>89</v>
      </c>
      <c r="D110" s="89" t="s">
        <v>98</v>
      </c>
      <c r="E110" s="73">
        <f>SUM(J110+F110)</f>
        <v>20000</v>
      </c>
      <c r="F110" s="74">
        <f t="shared" si="28"/>
        <v>20000</v>
      </c>
      <c r="G110" s="78">
        <v>20000</v>
      </c>
      <c r="H110" s="78">
        <v>0</v>
      </c>
      <c r="I110" s="78">
        <v>0</v>
      </c>
      <c r="J110" s="93">
        <f t="shared" si="32"/>
        <v>0</v>
      </c>
      <c r="K110" s="78">
        <v>0</v>
      </c>
      <c r="L110" s="78">
        <v>0</v>
      </c>
      <c r="M110" s="351">
        <v>0</v>
      </c>
    </row>
    <row r="111" spans="1:13" ht="15">
      <c r="A111" s="356"/>
      <c r="B111" s="87">
        <v>85333</v>
      </c>
      <c r="C111" s="87"/>
      <c r="D111" s="85" t="s">
        <v>104</v>
      </c>
      <c r="E111" s="78">
        <f>SUM(J111+F111)</f>
        <v>753900</v>
      </c>
      <c r="F111" s="93">
        <f t="shared" si="28"/>
        <v>753900</v>
      </c>
      <c r="G111" s="78">
        <f>SUM(G112)</f>
        <v>753900</v>
      </c>
      <c r="H111" s="78">
        <f>SUM(H112)</f>
        <v>0</v>
      </c>
      <c r="I111" s="78">
        <f>SUM(I112)</f>
        <v>0</v>
      </c>
      <c r="J111" s="93"/>
      <c r="K111" s="78"/>
      <c r="L111" s="78"/>
      <c r="M111" s="351"/>
    </row>
    <row r="112" spans="1:13" ht="68.25" customHeight="1">
      <c r="A112" s="356"/>
      <c r="B112" s="87"/>
      <c r="C112" s="84" t="s">
        <v>105</v>
      </c>
      <c r="D112" s="85" t="s">
        <v>106</v>
      </c>
      <c r="E112" s="78">
        <f>G112+H112+I112</f>
        <v>753900</v>
      </c>
      <c r="F112" s="93">
        <f t="shared" si="28"/>
        <v>753900</v>
      </c>
      <c r="G112" s="78">
        <v>753900</v>
      </c>
      <c r="H112" s="78">
        <v>0</v>
      </c>
      <c r="I112" s="78">
        <v>0</v>
      </c>
      <c r="J112" s="93">
        <f>SUM(K112:M112)</f>
        <v>0</v>
      </c>
      <c r="K112" s="78">
        <v>0</v>
      </c>
      <c r="L112" s="78">
        <f>0</f>
        <v>0</v>
      </c>
      <c r="M112" s="351">
        <v>0</v>
      </c>
    </row>
    <row r="113" spans="1:13" ht="16.5" customHeight="1">
      <c r="A113" s="348"/>
      <c r="B113" s="70">
        <v>85395</v>
      </c>
      <c r="C113" s="70"/>
      <c r="D113" s="72" t="s">
        <v>140</v>
      </c>
      <c r="E113" s="73">
        <f aca="true" t="shared" si="33" ref="E113:E118">SUM(J113+F113)</f>
        <v>2111060</v>
      </c>
      <c r="F113" s="74">
        <f t="shared" si="28"/>
        <v>2111060</v>
      </c>
      <c r="G113" s="73">
        <f>SUM(G114+G119)</f>
        <v>2111060</v>
      </c>
      <c r="H113" s="73">
        <f>SUM(H114+H119)</f>
        <v>0</v>
      </c>
      <c r="I113" s="73">
        <f>SUM(I114+I119)</f>
        <v>0</v>
      </c>
      <c r="J113" s="74"/>
      <c r="K113" s="73"/>
      <c r="L113" s="73"/>
      <c r="M113" s="349"/>
    </row>
    <row r="114" spans="1:13" ht="70.5" customHeight="1">
      <c r="A114" s="348"/>
      <c r="B114" s="70"/>
      <c r="C114" s="106" t="s">
        <v>302</v>
      </c>
      <c r="D114" s="387" t="s">
        <v>301</v>
      </c>
      <c r="E114" s="78">
        <f t="shared" si="33"/>
        <v>1935855</v>
      </c>
      <c r="F114" s="74">
        <f aca="true" t="shared" si="34" ref="F114:F123">SUM(G114:I114)</f>
        <v>1935855</v>
      </c>
      <c r="G114" s="73">
        <f>SUM(G115:G118)</f>
        <v>1935855</v>
      </c>
      <c r="H114" s="73">
        <f>SUM(H115:H118)</f>
        <v>0</v>
      </c>
      <c r="I114" s="73">
        <f>SUM(I115:I118)</f>
        <v>0</v>
      </c>
      <c r="J114" s="74"/>
      <c r="K114" s="73"/>
      <c r="L114" s="73"/>
      <c r="M114" s="349"/>
    </row>
    <row r="115" spans="1:13" ht="15" hidden="1">
      <c r="A115" s="401"/>
      <c r="B115" s="394"/>
      <c r="C115" s="395"/>
      <c r="D115" s="396" t="s">
        <v>304</v>
      </c>
      <c r="E115" s="397">
        <f t="shared" si="33"/>
        <v>110431</v>
      </c>
      <c r="F115" s="398">
        <f t="shared" si="34"/>
        <v>110431</v>
      </c>
      <c r="G115" s="398">
        <v>110431</v>
      </c>
      <c r="H115" s="398">
        <v>0</v>
      </c>
      <c r="I115" s="398">
        <v>0</v>
      </c>
      <c r="J115" s="398"/>
      <c r="K115" s="398">
        <v>0</v>
      </c>
      <c r="L115" s="398">
        <v>0</v>
      </c>
      <c r="M115" s="399">
        <v>0</v>
      </c>
    </row>
    <row r="116" spans="1:13" ht="15" hidden="1">
      <c r="A116" s="401"/>
      <c r="B116" s="394"/>
      <c r="C116" s="395"/>
      <c r="D116" s="396" t="s">
        <v>308</v>
      </c>
      <c r="E116" s="397">
        <f t="shared" si="33"/>
        <v>646552</v>
      </c>
      <c r="F116" s="398">
        <f t="shared" si="34"/>
        <v>646552</v>
      </c>
      <c r="G116" s="398">
        <f>646552</f>
        <v>646552</v>
      </c>
      <c r="H116" s="398">
        <v>0</v>
      </c>
      <c r="I116" s="398">
        <v>0</v>
      </c>
      <c r="J116" s="398"/>
      <c r="K116" s="398">
        <v>0</v>
      </c>
      <c r="L116" s="398">
        <v>0</v>
      </c>
      <c r="M116" s="399">
        <v>0</v>
      </c>
    </row>
    <row r="117" spans="1:13" ht="15" hidden="1">
      <c r="A117" s="401"/>
      <c r="B117" s="394"/>
      <c r="C117" s="395"/>
      <c r="D117" s="396" t="s">
        <v>309</v>
      </c>
      <c r="E117" s="397">
        <f t="shared" si="33"/>
        <v>774813</v>
      </c>
      <c r="F117" s="398">
        <f t="shared" si="34"/>
        <v>774813</v>
      </c>
      <c r="G117" s="398">
        <v>774813</v>
      </c>
      <c r="H117" s="398">
        <v>0</v>
      </c>
      <c r="I117" s="398">
        <v>0</v>
      </c>
      <c r="J117" s="398"/>
      <c r="K117" s="398">
        <v>0</v>
      </c>
      <c r="L117" s="398">
        <v>0</v>
      </c>
      <c r="M117" s="399">
        <v>0</v>
      </c>
    </row>
    <row r="118" spans="1:13" ht="15" hidden="1">
      <c r="A118" s="401"/>
      <c r="B118" s="394"/>
      <c r="C118" s="395"/>
      <c r="D118" s="396" t="s">
        <v>310</v>
      </c>
      <c r="E118" s="397">
        <f t="shared" si="33"/>
        <v>404059</v>
      </c>
      <c r="F118" s="398">
        <f t="shared" si="34"/>
        <v>404059</v>
      </c>
      <c r="G118" s="398">
        <v>404059</v>
      </c>
      <c r="H118" s="398">
        <v>0</v>
      </c>
      <c r="I118" s="398">
        <v>0</v>
      </c>
      <c r="J118" s="398"/>
      <c r="K118" s="398">
        <v>0</v>
      </c>
      <c r="L118" s="398">
        <v>0</v>
      </c>
      <c r="M118" s="399">
        <v>0</v>
      </c>
    </row>
    <row r="119" spans="1:13" ht="66.75" customHeight="1" thickBot="1">
      <c r="A119" s="388"/>
      <c r="B119" s="389"/>
      <c r="C119" s="390" t="s">
        <v>303</v>
      </c>
      <c r="D119" s="387" t="s">
        <v>301</v>
      </c>
      <c r="E119" s="391">
        <f>SUM(F119+J119)</f>
        <v>175205</v>
      </c>
      <c r="F119" s="392">
        <f t="shared" si="34"/>
        <v>175205</v>
      </c>
      <c r="G119" s="391">
        <f>SUM(G120:G123)</f>
        <v>175205</v>
      </c>
      <c r="H119" s="391">
        <f>SUM(H120:H123)</f>
        <v>0</v>
      </c>
      <c r="I119" s="391">
        <f>SUM(I120:I123)</f>
        <v>0</v>
      </c>
      <c r="J119" s="392"/>
      <c r="K119" s="391"/>
      <c r="L119" s="391"/>
      <c r="M119" s="393"/>
    </row>
    <row r="120" spans="1:13" ht="1.5" customHeight="1" hidden="1" thickBot="1">
      <c r="A120" s="401"/>
      <c r="B120" s="394"/>
      <c r="C120" s="400"/>
      <c r="D120" s="396" t="s">
        <v>304</v>
      </c>
      <c r="E120" s="398">
        <f>SUM(F120+J120)</f>
        <v>19488</v>
      </c>
      <c r="F120" s="398">
        <f t="shared" si="34"/>
        <v>19488</v>
      </c>
      <c r="G120" s="398">
        <v>19488</v>
      </c>
      <c r="H120" s="398"/>
      <c r="I120" s="398"/>
      <c r="J120" s="398"/>
      <c r="K120" s="398"/>
      <c r="L120" s="398"/>
      <c r="M120" s="399"/>
    </row>
    <row r="121" spans="1:13" ht="15.75" hidden="1" thickBot="1">
      <c r="A121" s="401"/>
      <c r="B121" s="394"/>
      <c r="C121" s="400"/>
      <c r="D121" s="396" t="s">
        <v>308</v>
      </c>
      <c r="E121" s="398">
        <f>SUM(F121+J121)</f>
        <v>114098</v>
      </c>
      <c r="F121" s="398">
        <f t="shared" si="34"/>
        <v>114098</v>
      </c>
      <c r="G121" s="398">
        <f>114098</f>
        <v>114098</v>
      </c>
      <c r="H121" s="398"/>
      <c r="I121" s="398"/>
      <c r="J121" s="398"/>
      <c r="K121" s="398"/>
      <c r="L121" s="398"/>
      <c r="M121" s="399"/>
    </row>
    <row r="122" spans="1:13" ht="15.75" hidden="1" thickBot="1">
      <c r="A122" s="401"/>
      <c r="B122" s="394"/>
      <c r="C122" s="400"/>
      <c r="D122" s="396" t="s">
        <v>309</v>
      </c>
      <c r="E122" s="398">
        <f>SUM(F122+J122)</f>
        <v>27354</v>
      </c>
      <c r="F122" s="398">
        <f t="shared" si="34"/>
        <v>27354</v>
      </c>
      <c r="G122" s="398">
        <v>27354</v>
      </c>
      <c r="H122" s="398"/>
      <c r="I122" s="398"/>
      <c r="J122" s="398"/>
      <c r="K122" s="398"/>
      <c r="L122" s="398"/>
      <c r="M122" s="399"/>
    </row>
    <row r="123" spans="1:13" ht="15.75" hidden="1" thickBot="1">
      <c r="A123" s="401"/>
      <c r="B123" s="394"/>
      <c r="C123" s="400"/>
      <c r="D123" s="396" t="s">
        <v>310</v>
      </c>
      <c r="E123" s="398">
        <f>SUM(F123+J123)</f>
        <v>14265</v>
      </c>
      <c r="F123" s="398">
        <f t="shared" si="34"/>
        <v>14265</v>
      </c>
      <c r="G123" s="398">
        <v>14265</v>
      </c>
      <c r="H123" s="398"/>
      <c r="I123" s="398"/>
      <c r="J123" s="398"/>
      <c r="K123" s="398"/>
      <c r="L123" s="398"/>
      <c r="M123" s="399"/>
    </row>
    <row r="124" spans="1:13" ht="18" thickBot="1" thickTop="1">
      <c r="A124" s="355">
        <v>854</v>
      </c>
      <c r="B124" s="86"/>
      <c r="C124" s="86"/>
      <c r="D124" s="81" t="s">
        <v>14</v>
      </c>
      <c r="E124" s="68">
        <f>SUM(E125+E131)</f>
        <v>334100</v>
      </c>
      <c r="F124" s="69">
        <f aca="true" t="shared" si="35" ref="F124:M124">SUM(F125+F131)</f>
        <v>334100</v>
      </c>
      <c r="G124" s="68">
        <f t="shared" si="35"/>
        <v>334100</v>
      </c>
      <c r="H124" s="68">
        <f t="shared" si="35"/>
        <v>0</v>
      </c>
      <c r="I124" s="68">
        <f t="shared" si="35"/>
        <v>0</v>
      </c>
      <c r="J124" s="69">
        <f t="shared" si="35"/>
        <v>0</v>
      </c>
      <c r="K124" s="68">
        <f t="shared" si="35"/>
        <v>0</v>
      </c>
      <c r="L124" s="68">
        <f t="shared" si="35"/>
        <v>0</v>
      </c>
      <c r="M124" s="347">
        <f t="shared" si="35"/>
        <v>0</v>
      </c>
    </row>
    <row r="125" spans="1:13" ht="15.75" thickTop="1">
      <c r="A125" s="362"/>
      <c r="B125" s="107">
        <v>85403</v>
      </c>
      <c r="C125" s="107"/>
      <c r="D125" s="108" t="s">
        <v>107</v>
      </c>
      <c r="E125" s="109">
        <f>SUM(J125+F125)</f>
        <v>134100</v>
      </c>
      <c r="F125" s="110">
        <f>SUM(G125:I125)</f>
        <v>134100</v>
      </c>
      <c r="G125" s="109">
        <f>G127+G128+G130+G129+G126</f>
        <v>134100</v>
      </c>
      <c r="H125" s="109">
        <f>H127+H128+H130+H129+H126</f>
        <v>0</v>
      </c>
      <c r="I125" s="109">
        <f>I127+I128+I130+I129+I126</f>
        <v>0</v>
      </c>
      <c r="J125" s="110">
        <f aca="true" t="shared" si="36" ref="J125:J131">SUM(K125:M125)</f>
        <v>0</v>
      </c>
      <c r="K125" s="109">
        <f>SUM(K126:K130)</f>
        <v>0</v>
      </c>
      <c r="L125" s="109">
        <f>SUM(L126:L130)</f>
        <v>0</v>
      </c>
      <c r="M125" s="363">
        <f>SUM(M126:M130)</f>
        <v>0</v>
      </c>
    </row>
    <row r="126" spans="1:13" ht="15">
      <c r="A126" s="348"/>
      <c r="B126" s="70"/>
      <c r="C126" s="82" t="s">
        <v>62</v>
      </c>
      <c r="D126" s="71" t="s">
        <v>272</v>
      </c>
      <c r="E126" s="73">
        <f aca="true" t="shared" si="37" ref="E126:E133">SUM(J126+F126)</f>
        <v>100</v>
      </c>
      <c r="F126" s="74">
        <f aca="true" t="shared" si="38" ref="F126:F133">SUM(G126:I126)</f>
        <v>100</v>
      </c>
      <c r="G126" s="73">
        <v>100</v>
      </c>
      <c r="H126" s="73">
        <v>0</v>
      </c>
      <c r="I126" s="73">
        <v>0</v>
      </c>
      <c r="J126" s="74">
        <f t="shared" si="36"/>
        <v>0</v>
      </c>
      <c r="K126" s="73">
        <v>0</v>
      </c>
      <c r="L126" s="73">
        <v>0</v>
      </c>
      <c r="M126" s="349">
        <v>0</v>
      </c>
    </row>
    <row r="127" spans="1:13" ht="75">
      <c r="A127" s="356"/>
      <c r="B127" s="87"/>
      <c r="C127" s="87" t="s">
        <v>64</v>
      </c>
      <c r="D127" s="85" t="s">
        <v>86</v>
      </c>
      <c r="E127" s="73">
        <f t="shared" si="37"/>
        <v>3000</v>
      </c>
      <c r="F127" s="74">
        <f t="shared" si="38"/>
        <v>3000</v>
      </c>
      <c r="G127" s="78">
        <v>3000</v>
      </c>
      <c r="H127" s="78">
        <v>0</v>
      </c>
      <c r="I127" s="78">
        <v>0</v>
      </c>
      <c r="J127" s="74">
        <f t="shared" si="36"/>
        <v>0</v>
      </c>
      <c r="K127" s="78">
        <v>0</v>
      </c>
      <c r="L127" s="78">
        <v>0</v>
      </c>
      <c r="M127" s="351">
        <v>0</v>
      </c>
    </row>
    <row r="128" spans="1:13" ht="15">
      <c r="A128" s="356"/>
      <c r="B128" s="87"/>
      <c r="C128" s="87" t="s">
        <v>66</v>
      </c>
      <c r="D128" s="89" t="s">
        <v>67</v>
      </c>
      <c r="E128" s="73">
        <f t="shared" si="37"/>
        <v>130000</v>
      </c>
      <c r="F128" s="74">
        <f t="shared" si="38"/>
        <v>130000</v>
      </c>
      <c r="G128" s="78">
        <v>130000</v>
      </c>
      <c r="H128" s="78">
        <v>0</v>
      </c>
      <c r="I128" s="78">
        <v>0</v>
      </c>
      <c r="J128" s="74">
        <f t="shared" si="36"/>
        <v>0</v>
      </c>
      <c r="K128" s="78">
        <v>0</v>
      </c>
      <c r="L128" s="78">
        <v>0</v>
      </c>
      <c r="M128" s="351">
        <v>0</v>
      </c>
    </row>
    <row r="129" spans="1:13" ht="30">
      <c r="A129" s="356"/>
      <c r="B129" s="87"/>
      <c r="C129" s="84" t="s">
        <v>245</v>
      </c>
      <c r="D129" s="77" t="s">
        <v>294</v>
      </c>
      <c r="E129" s="73">
        <f t="shared" si="37"/>
        <v>500</v>
      </c>
      <c r="F129" s="74">
        <f t="shared" si="38"/>
        <v>500</v>
      </c>
      <c r="G129" s="78">
        <v>500</v>
      </c>
      <c r="H129" s="78"/>
      <c r="I129" s="78"/>
      <c r="J129" s="74">
        <f t="shared" si="36"/>
        <v>0</v>
      </c>
      <c r="K129" s="78">
        <v>0</v>
      </c>
      <c r="L129" s="78"/>
      <c r="M129" s="351"/>
    </row>
    <row r="130" spans="1:13" ht="15">
      <c r="A130" s="356"/>
      <c r="B130" s="87"/>
      <c r="C130" s="87" t="s">
        <v>89</v>
      </c>
      <c r="D130" s="89" t="s">
        <v>98</v>
      </c>
      <c r="E130" s="73">
        <f t="shared" si="37"/>
        <v>500</v>
      </c>
      <c r="F130" s="74">
        <f t="shared" si="38"/>
        <v>500</v>
      </c>
      <c r="G130" s="78">
        <v>500</v>
      </c>
      <c r="H130" s="78">
        <v>0</v>
      </c>
      <c r="I130" s="78">
        <v>0</v>
      </c>
      <c r="J130" s="74">
        <f t="shared" si="36"/>
        <v>0</v>
      </c>
      <c r="K130" s="78">
        <v>0</v>
      </c>
      <c r="L130" s="78">
        <v>0</v>
      </c>
      <c r="M130" s="351">
        <v>0</v>
      </c>
    </row>
    <row r="131" spans="1:13" ht="15">
      <c r="A131" s="356"/>
      <c r="B131" s="87">
        <v>85410</v>
      </c>
      <c r="C131" s="87"/>
      <c r="D131" s="89" t="s">
        <v>108</v>
      </c>
      <c r="E131" s="73">
        <f t="shared" si="37"/>
        <v>200000</v>
      </c>
      <c r="F131" s="74">
        <f t="shared" si="38"/>
        <v>200000</v>
      </c>
      <c r="G131" s="78">
        <f>G133+G132</f>
        <v>200000</v>
      </c>
      <c r="H131" s="78">
        <f>H133+H132</f>
        <v>0</v>
      </c>
      <c r="I131" s="78">
        <f>I133+I132</f>
        <v>0</v>
      </c>
      <c r="J131" s="93">
        <f t="shared" si="36"/>
        <v>0</v>
      </c>
      <c r="K131" s="78">
        <f>K133</f>
        <v>0</v>
      </c>
      <c r="L131" s="78">
        <f>L133</f>
        <v>0</v>
      </c>
      <c r="M131" s="351">
        <f>M133</f>
        <v>0</v>
      </c>
    </row>
    <row r="132" spans="1:13" ht="75">
      <c r="A132" s="356"/>
      <c r="B132" s="87"/>
      <c r="C132" s="87" t="s">
        <v>64</v>
      </c>
      <c r="D132" s="85" t="s">
        <v>86</v>
      </c>
      <c r="E132" s="73">
        <f>SUM(J132+F132)</f>
        <v>130000</v>
      </c>
      <c r="F132" s="74">
        <f>SUM(G132:I132)</f>
        <v>130000</v>
      </c>
      <c r="G132" s="78">
        <f>130000</f>
        <v>130000</v>
      </c>
      <c r="H132" s="78">
        <v>0</v>
      </c>
      <c r="I132" s="78">
        <v>0</v>
      </c>
      <c r="J132" s="93"/>
      <c r="K132" s="78">
        <v>0</v>
      </c>
      <c r="L132" s="78">
        <v>0</v>
      </c>
      <c r="M132" s="351">
        <v>0</v>
      </c>
    </row>
    <row r="133" spans="1:13" ht="17.25" thickBot="1">
      <c r="A133" s="356"/>
      <c r="B133" s="87"/>
      <c r="C133" s="87" t="s">
        <v>66</v>
      </c>
      <c r="D133" s="89" t="s">
        <v>254</v>
      </c>
      <c r="E133" s="73">
        <f t="shared" si="37"/>
        <v>70000</v>
      </c>
      <c r="F133" s="74">
        <f t="shared" si="38"/>
        <v>70000</v>
      </c>
      <c r="G133" s="78">
        <f>70000</f>
        <v>70000</v>
      </c>
      <c r="H133" s="78">
        <v>0</v>
      </c>
      <c r="I133" s="78">
        <v>0</v>
      </c>
      <c r="J133" s="93">
        <f>SUM(K133:M133)</f>
        <v>0</v>
      </c>
      <c r="K133" s="78">
        <v>0</v>
      </c>
      <c r="L133" s="78">
        <v>0</v>
      </c>
      <c r="M133" s="351">
        <v>0</v>
      </c>
    </row>
    <row r="134" spans="1:13" ht="18" thickBot="1" thickTop="1">
      <c r="A134" s="355">
        <v>900</v>
      </c>
      <c r="B134" s="86"/>
      <c r="C134" s="86"/>
      <c r="D134" s="81" t="s">
        <v>298</v>
      </c>
      <c r="E134" s="68">
        <f>SUM(E135+E141)</f>
        <v>79500</v>
      </c>
      <c r="F134" s="69">
        <f aca="true" t="shared" si="39" ref="F134:M134">SUM(F135+F141)</f>
        <v>79500</v>
      </c>
      <c r="G134" s="68">
        <f t="shared" si="39"/>
        <v>79500</v>
      </c>
      <c r="H134" s="68">
        <f t="shared" si="39"/>
        <v>0</v>
      </c>
      <c r="I134" s="68">
        <f t="shared" si="39"/>
        <v>0</v>
      </c>
      <c r="J134" s="69">
        <f t="shared" si="39"/>
        <v>0</v>
      </c>
      <c r="K134" s="68">
        <f t="shared" si="39"/>
        <v>0</v>
      </c>
      <c r="L134" s="68">
        <f t="shared" si="39"/>
        <v>0</v>
      </c>
      <c r="M134" s="347">
        <f t="shared" si="39"/>
        <v>0</v>
      </c>
    </row>
    <row r="135" spans="1:13" ht="30.75" thickTop="1">
      <c r="A135" s="362"/>
      <c r="B135" s="107">
        <v>90019</v>
      </c>
      <c r="C135" s="107"/>
      <c r="D135" s="386" t="s">
        <v>299</v>
      </c>
      <c r="E135" s="109">
        <f>SUM(J135+F135)</f>
        <v>79500</v>
      </c>
      <c r="F135" s="110">
        <f>SUM(G135:I135)</f>
        <v>79500</v>
      </c>
      <c r="G135" s="109">
        <f>SUM(G136:G137)</f>
        <v>79500</v>
      </c>
      <c r="H135" s="109">
        <f>SUM(H136:H137)</f>
        <v>0</v>
      </c>
      <c r="I135" s="109">
        <f>SUM(I136:I137)</f>
        <v>0</v>
      </c>
      <c r="J135" s="110">
        <f>SUM(K135:M135)</f>
        <v>0</v>
      </c>
      <c r="K135" s="109">
        <f>SUM(K136:K137)</f>
        <v>0</v>
      </c>
      <c r="L135" s="109">
        <f>SUM(L136:L137)</f>
        <v>0</v>
      </c>
      <c r="M135" s="363">
        <f>SUM(M136:M137)</f>
        <v>0</v>
      </c>
    </row>
    <row r="136" spans="1:13" ht="15">
      <c r="A136" s="348"/>
      <c r="B136" s="70"/>
      <c r="C136" s="82" t="s">
        <v>62</v>
      </c>
      <c r="D136" s="71" t="s">
        <v>272</v>
      </c>
      <c r="E136" s="73">
        <f>SUM(J136+F136)</f>
        <v>78000</v>
      </c>
      <c r="F136" s="74">
        <f>SUM(G136:I136)</f>
        <v>78000</v>
      </c>
      <c r="G136" s="73">
        <f>78000</f>
        <v>78000</v>
      </c>
      <c r="H136" s="73">
        <v>0</v>
      </c>
      <c r="I136" s="73">
        <v>0</v>
      </c>
      <c r="J136" s="74">
        <f>SUM(K136:M136)</f>
        <v>0</v>
      </c>
      <c r="K136" s="73">
        <v>0</v>
      </c>
      <c r="L136" s="73">
        <v>0</v>
      </c>
      <c r="M136" s="349">
        <v>0</v>
      </c>
    </row>
    <row r="137" spans="1:13" ht="15.75" thickBot="1">
      <c r="A137" s="356"/>
      <c r="B137" s="87"/>
      <c r="C137" s="84" t="s">
        <v>68</v>
      </c>
      <c r="D137" s="85" t="s">
        <v>69</v>
      </c>
      <c r="E137" s="73">
        <f>SUM(J137+F137)</f>
        <v>1500</v>
      </c>
      <c r="F137" s="74">
        <f>SUM(G137:I137)</f>
        <v>1500</v>
      </c>
      <c r="G137" s="78">
        <f>1500</f>
        <v>1500</v>
      </c>
      <c r="H137" s="78">
        <v>0</v>
      </c>
      <c r="I137" s="78">
        <v>0</v>
      </c>
      <c r="J137" s="74">
        <f>SUM(K137:M137)</f>
        <v>0</v>
      </c>
      <c r="K137" s="78">
        <v>0</v>
      </c>
      <c r="L137" s="78">
        <v>0</v>
      </c>
      <c r="M137" s="351">
        <v>0</v>
      </c>
    </row>
    <row r="138" spans="1:13" ht="18" thickBot="1" thickTop="1">
      <c r="A138" s="483" t="s">
        <v>15</v>
      </c>
      <c r="B138" s="484"/>
      <c r="C138" s="484"/>
      <c r="D138" s="485"/>
      <c r="E138" s="364">
        <f aca="true" t="shared" si="40" ref="E138:M138">E15+E24+E28+E37+E49+E53+E60+E67+E84+E89+E104+E124+E18+E21+E134</f>
        <v>38109776</v>
      </c>
      <c r="F138" s="365">
        <f t="shared" si="40"/>
        <v>37809776</v>
      </c>
      <c r="G138" s="364">
        <f t="shared" si="40"/>
        <v>32619076</v>
      </c>
      <c r="H138" s="364">
        <f t="shared" si="40"/>
        <v>5189700</v>
      </c>
      <c r="I138" s="364">
        <f t="shared" si="40"/>
        <v>1000</v>
      </c>
      <c r="J138" s="365">
        <f t="shared" si="40"/>
        <v>300000</v>
      </c>
      <c r="K138" s="364">
        <f t="shared" si="40"/>
        <v>300000</v>
      </c>
      <c r="L138" s="364">
        <f t="shared" si="40"/>
        <v>0</v>
      </c>
      <c r="M138" s="385">
        <f t="shared" si="40"/>
        <v>0</v>
      </c>
    </row>
    <row r="139" spans="1:10" ht="12.75">
      <c r="A139" s="17"/>
      <c r="B139" s="17"/>
      <c r="C139" s="17"/>
      <c r="D139" s="17"/>
      <c r="E139" s="17"/>
      <c r="F139" s="18"/>
      <c r="G139" s="19"/>
      <c r="H139" s="17"/>
      <c r="I139" s="17"/>
      <c r="J139" s="15"/>
    </row>
    <row r="140" spans="1:10" ht="12.75">
      <c r="A140" s="17"/>
      <c r="B140" s="17"/>
      <c r="C140" s="17"/>
      <c r="D140" s="17"/>
      <c r="E140" s="19">
        <f>SUM(F138+J138)</f>
        <v>38109776</v>
      </c>
      <c r="F140" s="20"/>
      <c r="G140" s="19"/>
      <c r="H140" s="19"/>
      <c r="I140" s="19"/>
      <c r="J140" s="15"/>
    </row>
  </sheetData>
  <sheetProtection/>
  <mergeCells count="15">
    <mergeCell ref="A6:M6"/>
    <mergeCell ref="A7:M7"/>
    <mergeCell ref="A8:M8"/>
    <mergeCell ref="A9:M9"/>
    <mergeCell ref="E11:E13"/>
    <mergeCell ref="F11:M11"/>
    <mergeCell ref="F12:F13"/>
    <mergeCell ref="G12:I12"/>
    <mergeCell ref="J12:J13"/>
    <mergeCell ref="K12:M12"/>
    <mergeCell ref="A11:A13"/>
    <mergeCell ref="B11:B13"/>
    <mergeCell ref="C11:C13"/>
    <mergeCell ref="D11:D13"/>
    <mergeCell ref="A138:D138"/>
  </mergeCells>
  <printOptions horizontalCentered="1"/>
  <pageMargins left="0.4724409448818898" right="0.2755905511811024" top="0.5511811023622047" bottom="0.7874015748031497" header="1.1023622047244095" footer="0.5118110236220472"/>
  <pageSetup horizontalDpi="600" verticalDpi="600" orientation="portrait" paperSize="9" scale="50" r:id="rId3"/>
  <rowBreaks count="3" manualBreakCount="3">
    <brk id="44" max="12" man="1"/>
    <brk id="81" max="12" man="1"/>
    <brk id="11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D2" sqref="D2:D4"/>
    </sheetView>
  </sheetViews>
  <sheetFormatPr defaultColWidth="9.00390625" defaultRowHeight="12.75"/>
  <cols>
    <col min="1" max="1" width="5.625" style="0" customWidth="1"/>
    <col min="3" max="3" width="96.25390625" style="0" bestFit="1" customWidth="1"/>
    <col min="4" max="4" width="14.875" style="0" customWidth="1"/>
    <col min="5" max="5" width="13.25390625" style="0" bestFit="1" customWidth="1"/>
  </cols>
  <sheetData>
    <row r="1" spans="1:5" ht="15">
      <c r="A1" s="111"/>
      <c r="B1" s="111"/>
      <c r="C1" s="111"/>
      <c r="D1" s="111" t="s">
        <v>109</v>
      </c>
      <c r="E1" s="111"/>
    </row>
    <row r="2" spans="1:5" ht="15">
      <c r="A2" s="111"/>
      <c r="B2" s="111"/>
      <c r="C2" s="111"/>
      <c r="D2" s="29" t="s">
        <v>323</v>
      </c>
      <c r="E2" s="111"/>
    </row>
    <row r="3" spans="1:5" ht="15">
      <c r="A3" s="111"/>
      <c r="B3" s="111"/>
      <c r="C3" s="111"/>
      <c r="D3" s="29" t="s">
        <v>21</v>
      </c>
      <c r="E3" s="111"/>
    </row>
    <row r="4" spans="1:5" ht="15">
      <c r="A4" s="111"/>
      <c r="B4" s="111"/>
      <c r="C4" s="111"/>
      <c r="D4" s="30" t="s">
        <v>324</v>
      </c>
      <c r="E4" s="111"/>
    </row>
    <row r="5" spans="1:5" ht="15">
      <c r="A5" s="111"/>
      <c r="B5" s="111"/>
      <c r="C5" s="111"/>
      <c r="D5" s="111"/>
      <c r="E5" s="111"/>
    </row>
    <row r="6" spans="1:5" ht="19.5">
      <c r="A6" s="498" t="s">
        <v>286</v>
      </c>
      <c r="B6" s="499"/>
      <c r="C6" s="499"/>
      <c r="D6" s="499"/>
      <c r="E6" s="499"/>
    </row>
    <row r="7" spans="1:5" ht="19.5">
      <c r="A7" s="500" t="s">
        <v>110</v>
      </c>
      <c r="B7" s="501"/>
      <c r="C7" s="501"/>
      <c r="D7" s="501"/>
      <c r="E7" s="501"/>
    </row>
    <row r="8" spans="1:5" ht="15.75" customHeight="1" thickBot="1">
      <c r="A8" s="21"/>
      <c r="B8" s="21"/>
      <c r="C8" s="21"/>
      <c r="D8" s="21"/>
      <c r="E8" s="22"/>
    </row>
    <row r="9" spans="1:5" ht="33.75" thickBot="1">
      <c r="A9" s="112" t="s">
        <v>277</v>
      </c>
      <c r="B9" s="113"/>
      <c r="C9" s="114" t="s">
        <v>111</v>
      </c>
      <c r="D9" s="144" t="s">
        <v>265</v>
      </c>
      <c r="E9" s="145" t="s">
        <v>266</v>
      </c>
    </row>
    <row r="10" spans="1:5" ht="18" thickBot="1" thickTop="1">
      <c r="A10" s="115" t="s">
        <v>112</v>
      </c>
      <c r="B10" s="116"/>
      <c r="C10" s="116" t="s">
        <v>113</v>
      </c>
      <c r="D10" s="117">
        <f>D11+D12+D13+D14</f>
        <v>6043700</v>
      </c>
      <c r="E10" s="118">
        <f>E11+E12+E13+E14</f>
        <v>0.15858660517973128</v>
      </c>
    </row>
    <row r="11" spans="1:5" ht="32.25" thickTop="1">
      <c r="A11" s="119"/>
      <c r="B11" s="60">
        <v>1</v>
      </c>
      <c r="C11" s="120" t="s">
        <v>255</v>
      </c>
      <c r="D11" s="73">
        <v>5189700</v>
      </c>
      <c r="E11" s="121">
        <f>D11*100/D31/100</f>
        <v>0.13617765688258046</v>
      </c>
    </row>
    <row r="12" spans="1:5" ht="16.5">
      <c r="A12" s="122"/>
      <c r="B12" s="123">
        <v>2</v>
      </c>
      <c r="C12" s="124" t="s">
        <v>256</v>
      </c>
      <c r="D12" s="78">
        <v>853000</v>
      </c>
      <c r="E12" s="121">
        <f>D12*100/D31/100</f>
        <v>0.022382708310854413</v>
      </c>
    </row>
    <row r="13" spans="1:5" ht="32.25" thickBot="1">
      <c r="A13" s="125"/>
      <c r="B13" s="126">
        <v>3</v>
      </c>
      <c r="C13" s="127" t="s">
        <v>257</v>
      </c>
      <c r="D13" s="88">
        <v>1000</v>
      </c>
      <c r="E13" s="128">
        <f>D13*100/D31/100</f>
        <v>2.6239986296429556E-05</v>
      </c>
    </row>
    <row r="14" spans="1:5" ht="32.25" hidden="1" thickBot="1">
      <c r="A14" s="129"/>
      <c r="B14" s="130">
        <v>4</v>
      </c>
      <c r="C14" s="131" t="s">
        <v>258</v>
      </c>
      <c r="D14" s="91"/>
      <c r="E14" s="121">
        <f>D14*100/D31/100</f>
        <v>0</v>
      </c>
    </row>
    <row r="15" spans="1:5" ht="18" thickBot="1" thickTop="1">
      <c r="A15" s="115" t="s">
        <v>114</v>
      </c>
      <c r="B15" s="132"/>
      <c r="C15" s="116" t="s">
        <v>115</v>
      </c>
      <c r="D15" s="133">
        <f>D16+D17+D18</f>
        <v>20260317</v>
      </c>
      <c r="E15" s="118">
        <f>E16+E17+E18</f>
        <v>0.5316304404413187</v>
      </c>
    </row>
    <row r="16" spans="1:5" ht="15.75" thickTop="1">
      <c r="A16" s="119"/>
      <c r="B16" s="60">
        <v>1</v>
      </c>
      <c r="C16" s="134" t="s">
        <v>116</v>
      </c>
      <c r="D16" s="73">
        <v>13101264</v>
      </c>
      <c r="E16" s="121">
        <f>D16*100/D31/100</f>
        <v>0.3437769878259058</v>
      </c>
    </row>
    <row r="17" spans="1:5" ht="15">
      <c r="A17" s="122"/>
      <c r="B17" s="123">
        <v>2</v>
      </c>
      <c r="C17" s="124" t="s">
        <v>117</v>
      </c>
      <c r="D17" s="78">
        <v>5528525</v>
      </c>
      <c r="E17" s="135">
        <f>D17*100/D31/100</f>
        <v>0.14506842023946823</v>
      </c>
    </row>
    <row r="18" spans="1:5" ht="15.75" thickBot="1">
      <c r="A18" s="125"/>
      <c r="B18" s="126">
        <v>3</v>
      </c>
      <c r="C18" s="136" t="s">
        <v>118</v>
      </c>
      <c r="D18" s="88">
        <v>1630528</v>
      </c>
      <c r="E18" s="137">
        <f>D18*100/D31/100</f>
        <v>0.04278503237594469</v>
      </c>
    </row>
    <row r="19" spans="1:5" ht="18" thickBot="1" thickTop="1">
      <c r="A19" s="115" t="s">
        <v>119</v>
      </c>
      <c r="B19" s="132"/>
      <c r="C19" s="116" t="s">
        <v>120</v>
      </c>
      <c r="D19" s="133">
        <f>SUM(D20:D22)</f>
        <v>2884960</v>
      </c>
      <c r="E19" s="118">
        <f>E20+E21+E22</f>
        <v>0.07570131086574741</v>
      </c>
    </row>
    <row r="20" spans="1:5" ht="32.25" thickTop="1">
      <c r="A20" s="125"/>
      <c r="B20" s="126">
        <v>1</v>
      </c>
      <c r="C20" s="127" t="s">
        <v>259</v>
      </c>
      <c r="D20" s="88">
        <v>20000</v>
      </c>
      <c r="E20" s="137">
        <f>D20*100/D31/100</f>
        <v>0.0005247997259285912</v>
      </c>
    </row>
    <row r="21" spans="1:5" ht="30">
      <c r="A21" s="125"/>
      <c r="B21" s="126">
        <v>2</v>
      </c>
      <c r="C21" s="127" t="s">
        <v>121</v>
      </c>
      <c r="D21" s="88">
        <v>753900</v>
      </c>
      <c r="E21" s="137">
        <f>D21*100/D31/100</f>
        <v>0.01978232566887824</v>
      </c>
    </row>
    <row r="22" spans="1:5" ht="45.75" thickBot="1">
      <c r="A22" s="125"/>
      <c r="B22" s="126">
        <v>3</v>
      </c>
      <c r="C22" s="387" t="s">
        <v>301</v>
      </c>
      <c r="D22" s="88">
        <v>2111060</v>
      </c>
      <c r="E22" s="137">
        <f>D22*100/D31/100</f>
        <v>0.05539418547094058</v>
      </c>
    </row>
    <row r="23" spans="1:5" ht="18" thickBot="1" thickTop="1">
      <c r="A23" s="115" t="s">
        <v>122</v>
      </c>
      <c r="B23" s="132"/>
      <c r="C23" s="116" t="s">
        <v>123</v>
      </c>
      <c r="D23" s="133">
        <f>SUM(D24:D30)</f>
        <v>8920799</v>
      </c>
      <c r="E23" s="118">
        <f>SUM(E24:E30)</f>
        <v>0.2340816435132025</v>
      </c>
    </row>
    <row r="24" spans="1:5" ht="32.25" thickTop="1">
      <c r="A24" s="138"/>
      <c r="B24" s="60">
        <v>1</v>
      </c>
      <c r="C24" s="120" t="s">
        <v>260</v>
      </c>
      <c r="D24" s="73">
        <v>3334905</v>
      </c>
      <c r="E24" s="121">
        <f>D24*100/D31/100</f>
        <v>0.08750786149989441</v>
      </c>
    </row>
    <row r="25" spans="1:5" ht="31.5">
      <c r="A25" s="138"/>
      <c r="B25" s="60">
        <v>2</v>
      </c>
      <c r="C25" s="120" t="s">
        <v>261</v>
      </c>
      <c r="D25" s="73">
        <f>120000+20000</f>
        <v>140000</v>
      </c>
      <c r="E25" s="121">
        <f>D25*100/D31/100</f>
        <v>0.003673598081500138</v>
      </c>
    </row>
    <row r="26" spans="1:5" ht="31.5">
      <c r="A26" s="122"/>
      <c r="B26" s="123">
        <v>3</v>
      </c>
      <c r="C26" s="139" t="s">
        <v>262</v>
      </c>
      <c r="D26" s="78">
        <v>580964</v>
      </c>
      <c r="E26" s="121">
        <f>D26*100/D31/100</f>
        <v>0.0152444873987189</v>
      </c>
    </row>
    <row r="27" spans="1:5" ht="31.5">
      <c r="A27" s="119"/>
      <c r="B27" s="123">
        <v>4</v>
      </c>
      <c r="C27" s="139" t="s">
        <v>283</v>
      </c>
      <c r="D27" s="73">
        <v>28770</v>
      </c>
      <c r="E27" s="121">
        <f>D27*100/D31/100</f>
        <v>0.0007549244057482783</v>
      </c>
    </row>
    <row r="28" spans="1:5" ht="16.5">
      <c r="A28" s="138"/>
      <c r="B28" s="123">
        <v>5</v>
      </c>
      <c r="C28" s="134" t="s">
        <v>263</v>
      </c>
      <c r="D28" s="73">
        <f>760000+50000+50000</f>
        <v>860000</v>
      </c>
      <c r="E28" s="121">
        <f>D28*100/D31/100</f>
        <v>0.022566388214929418</v>
      </c>
    </row>
    <row r="29" spans="1:5" ht="16.5">
      <c r="A29" s="140"/>
      <c r="B29" s="123">
        <v>6</v>
      </c>
      <c r="C29" s="124" t="s">
        <v>264</v>
      </c>
      <c r="D29" s="141">
        <f>1550000+200000+50000</f>
        <v>1800000</v>
      </c>
      <c r="E29" s="135">
        <f>D29*100/D31/100</f>
        <v>0.0472319753335732</v>
      </c>
    </row>
    <row r="30" spans="1:5" ht="15.75" thickBot="1">
      <c r="A30" s="142"/>
      <c r="B30" s="123">
        <v>7</v>
      </c>
      <c r="C30" s="136" t="s">
        <v>124</v>
      </c>
      <c r="D30" s="143">
        <f>2166160+10000+100000-100000</f>
        <v>2176160</v>
      </c>
      <c r="E30" s="137">
        <f>D30*100/D31/100</f>
        <v>0.057102408578838144</v>
      </c>
    </row>
    <row r="31" spans="1:5" ht="14.25" thickBot="1" thickTop="1">
      <c r="A31" s="502" t="s">
        <v>15</v>
      </c>
      <c r="B31" s="503"/>
      <c r="C31" s="503"/>
      <c r="D31" s="23">
        <f>D10+D15+D19+D23</f>
        <v>38109776</v>
      </c>
      <c r="E31" s="24">
        <f>E10+E15+E19+E23</f>
        <v>0.9999999999999998</v>
      </c>
    </row>
    <row r="32" ht="13.5" thickTop="1"/>
  </sheetData>
  <sheetProtection/>
  <mergeCells count="3">
    <mergeCell ref="A6:E6"/>
    <mergeCell ref="A7:E7"/>
    <mergeCell ref="A31:C31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D115" sqref="D115:E115"/>
    </sheetView>
  </sheetViews>
  <sheetFormatPr defaultColWidth="9.00390625" defaultRowHeight="12.75"/>
  <cols>
    <col min="1" max="2" width="9.625" style="0" bestFit="1" customWidth="1"/>
    <col min="3" max="3" width="41.625" style="0" bestFit="1" customWidth="1"/>
    <col min="4" max="4" width="17.00390625" style="0" customWidth="1"/>
    <col min="5" max="5" width="13.125" style="0" bestFit="1" customWidth="1"/>
    <col min="6" max="6" width="13.25390625" style="0" customWidth="1"/>
    <col min="7" max="7" width="12.125" style="0" customWidth="1"/>
    <col min="8" max="8" width="11.875" style="0" bestFit="1" customWidth="1"/>
    <col min="9" max="9" width="11.875" style="0" customWidth="1"/>
    <col min="10" max="10" width="13.375" style="0" customWidth="1"/>
    <col min="11" max="11" width="12.00390625" style="0" customWidth="1"/>
    <col min="12" max="12" width="13.125" style="0" customWidth="1"/>
    <col min="13" max="13" width="9.125" style="15" customWidth="1"/>
  </cols>
  <sheetData>
    <row r="1" spans="1:12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 t="s">
        <v>125</v>
      </c>
      <c r="L1" s="58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29" t="s">
        <v>323</v>
      </c>
      <c r="L2" s="58"/>
    </row>
    <row r="3" spans="1:12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29" t="s">
        <v>21</v>
      </c>
      <c r="L3" s="58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30" t="s">
        <v>324</v>
      </c>
      <c r="L4" s="58"/>
    </row>
    <row r="5" spans="1:12" ht="18">
      <c r="A5" s="505" t="s">
        <v>126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1:12" ht="12.75" customHeight="1">
      <c r="A6" s="505" t="s">
        <v>287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2" ht="15.75" customHeight="1">
      <c r="A7" s="505" t="s">
        <v>29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</row>
    <row r="8" spans="1:12" ht="15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8" customHeight="1">
      <c r="A9" s="507" t="s">
        <v>0</v>
      </c>
      <c r="B9" s="509" t="s">
        <v>127</v>
      </c>
      <c r="C9" s="511" t="s">
        <v>35</v>
      </c>
      <c r="D9" s="517" t="s">
        <v>128</v>
      </c>
      <c r="E9" s="519" t="s">
        <v>129</v>
      </c>
      <c r="F9" s="520"/>
      <c r="G9" s="520"/>
      <c r="H9" s="520"/>
      <c r="I9" s="520"/>
      <c r="J9" s="520"/>
      <c r="K9" s="520"/>
      <c r="L9" s="521"/>
    </row>
    <row r="10" spans="1:12" ht="18.75" customHeight="1">
      <c r="A10" s="508"/>
      <c r="B10" s="510"/>
      <c r="C10" s="512"/>
      <c r="D10" s="518"/>
      <c r="E10" s="518" t="s">
        <v>320</v>
      </c>
      <c r="F10" s="518"/>
      <c r="G10" s="518"/>
      <c r="H10" s="518"/>
      <c r="I10" s="518"/>
      <c r="J10" s="518"/>
      <c r="K10" s="518"/>
      <c r="L10" s="522" t="s">
        <v>130</v>
      </c>
    </row>
    <row r="11" spans="1:12" ht="13.5" customHeight="1">
      <c r="A11" s="508"/>
      <c r="B11" s="510"/>
      <c r="C11" s="512"/>
      <c r="D11" s="518"/>
      <c r="E11" s="523" t="s">
        <v>15</v>
      </c>
      <c r="F11" s="513" t="s">
        <v>318</v>
      </c>
      <c r="G11" s="514"/>
      <c r="H11" s="515" t="s">
        <v>131</v>
      </c>
      <c r="I11" s="515" t="s">
        <v>317</v>
      </c>
      <c r="J11" s="525" t="s">
        <v>307</v>
      </c>
      <c r="K11" s="515" t="s">
        <v>132</v>
      </c>
      <c r="L11" s="522"/>
    </row>
    <row r="12" spans="1:12" ht="87" customHeight="1">
      <c r="A12" s="508"/>
      <c r="B12" s="510"/>
      <c r="C12" s="512"/>
      <c r="D12" s="518"/>
      <c r="E12" s="524"/>
      <c r="F12" s="146" t="s">
        <v>179</v>
      </c>
      <c r="G12" s="146" t="s">
        <v>319</v>
      </c>
      <c r="H12" s="516"/>
      <c r="I12" s="516"/>
      <c r="J12" s="526"/>
      <c r="K12" s="516"/>
      <c r="L12" s="522"/>
    </row>
    <row r="13" spans="1:12" ht="15" thickBot="1">
      <c r="A13" s="408">
        <v>1</v>
      </c>
      <c r="B13" s="147">
        <v>2</v>
      </c>
      <c r="C13" s="148">
        <v>3</v>
      </c>
      <c r="D13" s="148">
        <v>4</v>
      </c>
      <c r="E13" s="149">
        <v>5</v>
      </c>
      <c r="F13" s="148">
        <v>6</v>
      </c>
      <c r="G13" s="148">
        <v>7</v>
      </c>
      <c r="H13" s="148">
        <v>8</v>
      </c>
      <c r="I13" s="148">
        <v>9</v>
      </c>
      <c r="J13" s="148">
        <v>10</v>
      </c>
      <c r="K13" s="148">
        <v>11</v>
      </c>
      <c r="L13" s="409">
        <v>12</v>
      </c>
    </row>
    <row r="14" spans="1:12" ht="18" thickBot="1" thickTop="1">
      <c r="A14" s="410" t="s">
        <v>43</v>
      </c>
      <c r="B14" s="151"/>
      <c r="C14" s="151" t="s">
        <v>5</v>
      </c>
      <c r="D14" s="68">
        <f>E14+L14</f>
        <v>90000</v>
      </c>
      <c r="E14" s="69">
        <f>F14+G14+H14+K14+I14</f>
        <v>90000</v>
      </c>
      <c r="F14" s="68">
        <f aca="true" t="shared" si="0" ref="F14:K14">SUM(F15:F16)</f>
        <v>0</v>
      </c>
      <c r="G14" s="68">
        <f t="shared" si="0"/>
        <v>90000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411">
        <f>L15</f>
        <v>0</v>
      </c>
    </row>
    <row r="15" spans="1:12" ht="30.75" thickTop="1">
      <c r="A15" s="412"/>
      <c r="B15" s="82" t="s">
        <v>133</v>
      </c>
      <c r="C15" s="153" t="s">
        <v>134</v>
      </c>
      <c r="D15" s="73">
        <f>E15</f>
        <v>80000</v>
      </c>
      <c r="E15" s="74">
        <f>SUM(F15:K15)</f>
        <v>80000</v>
      </c>
      <c r="F15" s="73">
        <v>0</v>
      </c>
      <c r="G15" s="73">
        <v>80000</v>
      </c>
      <c r="H15" s="73">
        <v>0</v>
      </c>
      <c r="I15" s="73">
        <v>0</v>
      </c>
      <c r="J15" s="73">
        <v>0</v>
      </c>
      <c r="K15" s="73">
        <v>0</v>
      </c>
      <c r="L15" s="413">
        <v>0</v>
      </c>
    </row>
    <row r="16" spans="1:12" ht="15.75" thickBot="1">
      <c r="A16" s="412"/>
      <c r="B16" s="82" t="s">
        <v>273</v>
      </c>
      <c r="C16" s="153" t="s">
        <v>140</v>
      </c>
      <c r="D16" s="73">
        <f>E16</f>
        <v>10000</v>
      </c>
      <c r="E16" s="74">
        <f>SUM(F16:K16)</f>
        <v>10000</v>
      </c>
      <c r="F16" s="73">
        <v>0</v>
      </c>
      <c r="G16" s="73">
        <f>10000</f>
        <v>10000</v>
      </c>
      <c r="H16" s="73">
        <v>0</v>
      </c>
      <c r="I16" s="73">
        <v>0</v>
      </c>
      <c r="J16" s="73">
        <v>0</v>
      </c>
      <c r="K16" s="73">
        <v>0</v>
      </c>
      <c r="L16" s="413">
        <v>0</v>
      </c>
    </row>
    <row r="17" spans="1:12" ht="21" customHeight="1" thickBot="1" thickTop="1">
      <c r="A17" s="410" t="s">
        <v>135</v>
      </c>
      <c r="B17" s="150"/>
      <c r="C17" s="154" t="s">
        <v>6</v>
      </c>
      <c r="D17" s="68">
        <f>E17+L17</f>
        <v>20000</v>
      </c>
      <c r="E17" s="69">
        <f>F17+G17+H17+K17+I17</f>
        <v>20000</v>
      </c>
      <c r="F17" s="68">
        <f aca="true" t="shared" si="1" ref="F17:K17">SUM(F18:F18)</f>
        <v>0</v>
      </c>
      <c r="G17" s="68">
        <f t="shared" si="1"/>
        <v>20000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411">
        <f>SUM(L18)</f>
        <v>0</v>
      </c>
    </row>
    <row r="18" spans="1:12" ht="18" thickBot="1" thickTop="1">
      <c r="A18" s="414"/>
      <c r="B18" s="82" t="s">
        <v>136</v>
      </c>
      <c r="C18" s="153" t="s">
        <v>137</v>
      </c>
      <c r="D18" s="73">
        <f>E18</f>
        <v>20000</v>
      </c>
      <c r="E18" s="74">
        <f>SUM(F18:K18)</f>
        <v>20000</v>
      </c>
      <c r="F18" s="73">
        <v>0</v>
      </c>
      <c r="G18" s="73">
        <v>20000</v>
      </c>
      <c r="H18" s="73">
        <v>0</v>
      </c>
      <c r="I18" s="73">
        <v>0</v>
      </c>
      <c r="J18" s="73">
        <v>0</v>
      </c>
      <c r="K18" s="73">
        <v>0</v>
      </c>
      <c r="L18" s="413">
        <v>0</v>
      </c>
    </row>
    <row r="19" spans="1:12" ht="18" thickBot="1" thickTop="1">
      <c r="A19" s="410">
        <v>600</v>
      </c>
      <c r="B19" s="150"/>
      <c r="C19" s="154" t="s">
        <v>7</v>
      </c>
      <c r="D19" s="340">
        <f>E19+L19</f>
        <v>2600000</v>
      </c>
      <c r="E19" s="341">
        <f>F19+G19+H19+K19+I19</f>
        <v>1900000</v>
      </c>
      <c r="F19" s="340">
        <f aca="true" t="shared" si="2" ref="F19:L19">SUM(F20:F20)</f>
        <v>588080</v>
      </c>
      <c r="G19" s="340">
        <f t="shared" si="2"/>
        <v>1296920</v>
      </c>
      <c r="H19" s="340">
        <f t="shared" si="2"/>
        <v>0</v>
      </c>
      <c r="I19" s="340">
        <f>SUM(I20:I20)</f>
        <v>15000</v>
      </c>
      <c r="J19" s="340">
        <f t="shared" si="2"/>
        <v>0</v>
      </c>
      <c r="K19" s="340">
        <f t="shared" si="2"/>
        <v>0</v>
      </c>
      <c r="L19" s="375">
        <f t="shared" si="2"/>
        <v>700000</v>
      </c>
    </row>
    <row r="20" spans="1:12" ht="16.5" thickBot="1" thickTop="1">
      <c r="A20" s="415"/>
      <c r="B20" s="175">
        <v>60014</v>
      </c>
      <c r="C20" s="378" t="s">
        <v>138</v>
      </c>
      <c r="D20" s="199">
        <f>E20+L20</f>
        <v>2600000</v>
      </c>
      <c r="E20" s="203">
        <f>SUM(F20:K20)</f>
        <v>1900000</v>
      </c>
      <c r="F20" s="199">
        <f>492480+95600</f>
        <v>588080</v>
      </c>
      <c r="G20" s="199">
        <f>1403445-41525-50000-15000</f>
        <v>1296920</v>
      </c>
      <c r="H20" s="199">
        <v>0</v>
      </c>
      <c r="I20" s="199">
        <f>15000</f>
        <v>15000</v>
      </c>
      <c r="J20" s="199">
        <v>0</v>
      </c>
      <c r="K20" s="199">
        <v>0</v>
      </c>
      <c r="L20" s="416">
        <f>5634500-4984500+50000</f>
        <v>700000</v>
      </c>
    </row>
    <row r="21" spans="1:12" ht="18" thickBot="1" thickTop="1">
      <c r="A21" s="417">
        <v>630</v>
      </c>
      <c r="B21" s="155"/>
      <c r="C21" s="156" t="s">
        <v>139</v>
      </c>
      <c r="D21" s="98">
        <f aca="true" t="shared" si="3" ref="D21:D48">E21+L21</f>
        <v>20000</v>
      </c>
      <c r="E21" s="99">
        <f>F21+G21+H21+K21+I21</f>
        <v>20000</v>
      </c>
      <c r="F21" s="98">
        <v>0</v>
      </c>
      <c r="G21" s="98">
        <f>G22</f>
        <v>20000</v>
      </c>
      <c r="H21" s="98">
        <v>0</v>
      </c>
      <c r="I21" s="98">
        <v>0</v>
      </c>
      <c r="J21" s="98">
        <v>0</v>
      </c>
      <c r="K21" s="98">
        <v>0</v>
      </c>
      <c r="L21" s="418">
        <v>0</v>
      </c>
    </row>
    <row r="22" spans="1:12" ht="16.5" thickBot="1" thickTop="1">
      <c r="A22" s="419"/>
      <c r="B22" s="157">
        <v>63095</v>
      </c>
      <c r="C22" s="158" t="s">
        <v>140</v>
      </c>
      <c r="D22" s="94">
        <f t="shared" si="3"/>
        <v>20000</v>
      </c>
      <c r="E22" s="159">
        <f>SUM(F22:K22)</f>
        <v>20000</v>
      </c>
      <c r="F22" s="94">
        <v>0</v>
      </c>
      <c r="G22" s="94">
        <v>20000</v>
      </c>
      <c r="H22" s="94">
        <v>0</v>
      </c>
      <c r="I22" s="94">
        <v>0</v>
      </c>
      <c r="J22" s="94">
        <v>0</v>
      </c>
      <c r="K22" s="94">
        <v>0</v>
      </c>
      <c r="L22" s="420">
        <v>0</v>
      </c>
    </row>
    <row r="23" spans="1:12" ht="18" thickBot="1" thickTop="1">
      <c r="A23" s="410">
        <v>700</v>
      </c>
      <c r="B23" s="150"/>
      <c r="C23" s="154" t="s">
        <v>8</v>
      </c>
      <c r="D23" s="68">
        <f t="shared" si="3"/>
        <v>50000</v>
      </c>
      <c r="E23" s="69">
        <f>F23+G23+H23+K23+I23</f>
        <v>50000</v>
      </c>
      <c r="F23" s="68">
        <v>0</v>
      </c>
      <c r="G23" s="68">
        <f>G24</f>
        <v>50000</v>
      </c>
      <c r="H23" s="68">
        <v>0</v>
      </c>
      <c r="I23" s="68">
        <v>0</v>
      </c>
      <c r="J23" s="68">
        <v>0</v>
      </c>
      <c r="K23" s="68">
        <v>0</v>
      </c>
      <c r="L23" s="411">
        <v>0</v>
      </c>
    </row>
    <row r="24" spans="1:12" ht="16.5" thickBot="1" thickTop="1">
      <c r="A24" s="419"/>
      <c r="B24" s="157">
        <v>70005</v>
      </c>
      <c r="C24" s="158" t="s">
        <v>49</v>
      </c>
      <c r="D24" s="94">
        <f t="shared" si="3"/>
        <v>50000</v>
      </c>
      <c r="E24" s="159">
        <f>SUM(F24:K24)</f>
        <v>50000</v>
      </c>
      <c r="F24" s="94">
        <v>0</v>
      </c>
      <c r="G24" s="94">
        <f>10000+40000</f>
        <v>50000</v>
      </c>
      <c r="H24" s="94">
        <v>0</v>
      </c>
      <c r="I24" s="94">
        <v>0</v>
      </c>
      <c r="J24" s="94">
        <v>0</v>
      </c>
      <c r="K24" s="94">
        <v>0</v>
      </c>
      <c r="L24" s="420">
        <v>0</v>
      </c>
    </row>
    <row r="25" spans="1:12" ht="18" thickBot="1" thickTop="1">
      <c r="A25" s="410">
        <v>710</v>
      </c>
      <c r="B25" s="150"/>
      <c r="C25" s="154" t="s">
        <v>9</v>
      </c>
      <c r="D25" s="68">
        <f>E25+L25</f>
        <v>898500</v>
      </c>
      <c r="E25" s="69">
        <f>F25+G25+H25+K25+I25</f>
        <v>893500</v>
      </c>
      <c r="F25" s="68">
        <f aca="true" t="shared" si="4" ref="F25:L25">F27+F28+F29+F30+F26</f>
        <v>633936</v>
      </c>
      <c r="G25" s="68">
        <f t="shared" si="4"/>
        <v>258964</v>
      </c>
      <c r="H25" s="68">
        <f t="shared" si="4"/>
        <v>0</v>
      </c>
      <c r="I25" s="68">
        <f>I27+I28+I29+I30+I26</f>
        <v>600</v>
      </c>
      <c r="J25" s="68">
        <f t="shared" si="4"/>
        <v>0</v>
      </c>
      <c r="K25" s="68">
        <f t="shared" si="4"/>
        <v>0</v>
      </c>
      <c r="L25" s="411">
        <f t="shared" si="4"/>
        <v>5000</v>
      </c>
    </row>
    <row r="26" spans="1:12" ht="30.75" thickTop="1">
      <c r="A26" s="412"/>
      <c r="B26" s="152">
        <v>71012</v>
      </c>
      <c r="C26" s="153" t="s">
        <v>141</v>
      </c>
      <c r="D26" s="73">
        <f t="shared" si="3"/>
        <v>559000</v>
      </c>
      <c r="E26" s="74">
        <f>SUM(F26:K26)</f>
        <v>554000</v>
      </c>
      <c r="F26" s="73">
        <f>352632+62204</f>
        <v>414836</v>
      </c>
      <c r="G26" s="73">
        <f>180770-41606-600</f>
        <v>138564</v>
      </c>
      <c r="H26" s="73">
        <v>0</v>
      </c>
      <c r="I26" s="73">
        <f>600</f>
        <v>600</v>
      </c>
      <c r="J26" s="73">
        <v>0</v>
      </c>
      <c r="K26" s="73">
        <v>0</v>
      </c>
      <c r="L26" s="413">
        <f>5000</f>
        <v>5000</v>
      </c>
    </row>
    <row r="27" spans="1:12" ht="30">
      <c r="A27" s="412"/>
      <c r="B27" s="152">
        <v>71013</v>
      </c>
      <c r="C27" s="153" t="s">
        <v>52</v>
      </c>
      <c r="D27" s="73">
        <f t="shared" si="3"/>
        <v>87000</v>
      </c>
      <c r="E27" s="74">
        <f>SUM(F27:K27)</f>
        <v>87000</v>
      </c>
      <c r="F27" s="73">
        <v>0</v>
      </c>
      <c r="G27" s="73">
        <v>87000</v>
      </c>
      <c r="H27" s="73">
        <v>0</v>
      </c>
      <c r="I27" s="73">
        <v>0</v>
      </c>
      <c r="J27" s="73">
        <v>0</v>
      </c>
      <c r="K27" s="73">
        <v>0</v>
      </c>
      <c r="L27" s="413">
        <v>0</v>
      </c>
    </row>
    <row r="28" spans="1:12" ht="15">
      <c r="A28" s="421"/>
      <c r="B28" s="160">
        <v>71014</v>
      </c>
      <c r="C28" s="161" t="s">
        <v>53</v>
      </c>
      <c r="D28" s="78">
        <f t="shared" si="3"/>
        <v>22000</v>
      </c>
      <c r="E28" s="74">
        <f>SUM(F28:K28)</f>
        <v>22000</v>
      </c>
      <c r="F28" s="78">
        <v>0</v>
      </c>
      <c r="G28" s="78">
        <v>22000</v>
      </c>
      <c r="H28" s="78">
        <v>0</v>
      </c>
      <c r="I28" s="78">
        <v>0</v>
      </c>
      <c r="J28" s="78">
        <v>0</v>
      </c>
      <c r="K28" s="78">
        <v>0</v>
      </c>
      <c r="L28" s="422">
        <v>0</v>
      </c>
    </row>
    <row r="29" spans="1:12" ht="15">
      <c r="A29" s="421"/>
      <c r="B29" s="160">
        <v>71015</v>
      </c>
      <c r="C29" s="161" t="s">
        <v>142</v>
      </c>
      <c r="D29" s="78">
        <f t="shared" si="3"/>
        <v>229000</v>
      </c>
      <c r="E29" s="74">
        <f>SUM(F29:K29)</f>
        <v>229000</v>
      </c>
      <c r="F29" s="78">
        <f>185600+33500</f>
        <v>219100</v>
      </c>
      <c r="G29" s="78">
        <f>9900</f>
        <v>9900</v>
      </c>
      <c r="H29" s="78">
        <v>0</v>
      </c>
      <c r="I29" s="78">
        <v>0</v>
      </c>
      <c r="J29" s="78">
        <v>0</v>
      </c>
      <c r="K29" s="78">
        <v>0</v>
      </c>
      <c r="L29" s="422">
        <v>0</v>
      </c>
    </row>
    <row r="30" spans="1:12" ht="15.75" thickBot="1">
      <c r="A30" s="421"/>
      <c r="B30" s="160">
        <v>71095</v>
      </c>
      <c r="C30" s="161" t="s">
        <v>140</v>
      </c>
      <c r="D30" s="78">
        <f t="shared" si="3"/>
        <v>1500</v>
      </c>
      <c r="E30" s="74">
        <f>SUM(F30:K30)</f>
        <v>1500</v>
      </c>
      <c r="F30" s="78">
        <v>0</v>
      </c>
      <c r="G30" s="78">
        <v>1500</v>
      </c>
      <c r="H30" s="78">
        <v>0</v>
      </c>
      <c r="I30" s="78">
        <v>0</v>
      </c>
      <c r="J30" s="78">
        <v>0</v>
      </c>
      <c r="K30" s="78">
        <v>0</v>
      </c>
      <c r="L30" s="422"/>
    </row>
    <row r="31" spans="1:12" ht="18" thickBot="1" thickTop="1">
      <c r="A31" s="410">
        <v>750</v>
      </c>
      <c r="B31" s="150"/>
      <c r="C31" s="154" t="s">
        <v>55</v>
      </c>
      <c r="D31" s="68">
        <f>E31+L31</f>
        <v>5100222</v>
      </c>
      <c r="E31" s="69">
        <f>F31+G31+H31+K31+I31</f>
        <v>5030222</v>
      </c>
      <c r="F31" s="68">
        <f>F32+F34+F35+F36+F37+F39</f>
        <v>3303903</v>
      </c>
      <c r="G31" s="68">
        <f>SUM(G32+G34+G35+G36+G37)</f>
        <v>1498719</v>
      </c>
      <c r="H31" s="68">
        <f>H32+H34+H35+H36+H37+H39</f>
        <v>20000</v>
      </c>
      <c r="I31" s="68">
        <f>I32+I34+I35+I36+I37+I39</f>
        <v>207600</v>
      </c>
      <c r="J31" s="68">
        <f>J32+J34+J35+J36+J37+J39</f>
        <v>0</v>
      </c>
      <c r="K31" s="68">
        <f>K32+K34+K35+K36+K37+K39</f>
        <v>0</v>
      </c>
      <c r="L31" s="411">
        <f>L32+L34+L35+L36</f>
        <v>70000</v>
      </c>
    </row>
    <row r="32" spans="1:12" ht="15.75" thickTop="1">
      <c r="A32" s="412"/>
      <c r="B32" s="152">
        <v>75011</v>
      </c>
      <c r="C32" s="153" t="s">
        <v>56</v>
      </c>
      <c r="D32" s="73">
        <f t="shared" si="3"/>
        <v>103200</v>
      </c>
      <c r="E32" s="74">
        <f>SUM(F32:K32)</f>
        <v>103200</v>
      </c>
      <c r="F32" s="73">
        <f aca="true" t="shared" si="5" ref="F32:L32">F33</f>
        <v>103200</v>
      </c>
      <c r="G32" s="73">
        <f t="shared" si="5"/>
        <v>0</v>
      </c>
      <c r="H32" s="73">
        <f t="shared" si="5"/>
        <v>0</v>
      </c>
      <c r="I32" s="73">
        <f t="shared" si="5"/>
        <v>0</v>
      </c>
      <c r="J32" s="73">
        <f t="shared" si="5"/>
        <v>0</v>
      </c>
      <c r="K32" s="73">
        <f t="shared" si="5"/>
        <v>0</v>
      </c>
      <c r="L32" s="413">
        <f t="shared" si="5"/>
        <v>0</v>
      </c>
    </row>
    <row r="33" spans="1:12" ht="15" hidden="1">
      <c r="A33" s="423"/>
      <c r="B33" s="162"/>
      <c r="C33" s="163" t="s">
        <v>143</v>
      </c>
      <c r="D33" s="164">
        <f t="shared" si="3"/>
        <v>103200</v>
      </c>
      <c r="E33" s="74">
        <f aca="true" t="shared" si="6" ref="E33:E39">SUM(F33:K33)</f>
        <v>103200</v>
      </c>
      <c r="F33" s="78">
        <v>103200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422">
        <v>0</v>
      </c>
    </row>
    <row r="34" spans="1:12" ht="15">
      <c r="A34" s="421"/>
      <c r="B34" s="160">
        <v>75019</v>
      </c>
      <c r="C34" s="161" t="s">
        <v>144</v>
      </c>
      <c r="D34" s="78">
        <f t="shared" si="3"/>
        <v>210000</v>
      </c>
      <c r="E34" s="74">
        <f t="shared" si="6"/>
        <v>210000</v>
      </c>
      <c r="F34" s="78">
        <v>0</v>
      </c>
      <c r="G34" s="78">
        <f>215000-5000-199000</f>
        <v>11000</v>
      </c>
      <c r="H34" s="78">
        <v>0</v>
      </c>
      <c r="I34" s="78">
        <f>199000</f>
        <v>199000</v>
      </c>
      <c r="J34" s="78">
        <v>0</v>
      </c>
      <c r="K34" s="78">
        <v>0</v>
      </c>
      <c r="L34" s="422">
        <v>0</v>
      </c>
    </row>
    <row r="35" spans="1:12" ht="15">
      <c r="A35" s="421"/>
      <c r="B35" s="160">
        <v>75020</v>
      </c>
      <c r="C35" s="161" t="s">
        <v>57</v>
      </c>
      <c r="D35" s="78">
        <f t="shared" si="3"/>
        <v>4703022</v>
      </c>
      <c r="E35" s="74">
        <f t="shared" si="6"/>
        <v>4633022</v>
      </c>
      <c r="F35" s="78">
        <f>2764358+485145-50000</f>
        <v>3199503</v>
      </c>
      <c r="G35" s="78">
        <f>1459519+4000-30000-4600-1000</f>
        <v>1427919</v>
      </c>
      <c r="H35" s="78">
        <v>0</v>
      </c>
      <c r="I35" s="78">
        <f>4600+1000</f>
        <v>5600</v>
      </c>
      <c r="J35" s="78">
        <v>0</v>
      </c>
      <c r="K35" s="78">
        <v>0</v>
      </c>
      <c r="L35" s="422">
        <f>40000+30000</f>
        <v>70000</v>
      </c>
    </row>
    <row r="36" spans="1:12" ht="15">
      <c r="A36" s="424"/>
      <c r="B36" s="165">
        <v>75045</v>
      </c>
      <c r="C36" s="89" t="s">
        <v>276</v>
      </c>
      <c r="D36" s="88">
        <f t="shared" si="3"/>
        <v>24000</v>
      </c>
      <c r="E36" s="74">
        <f t="shared" si="6"/>
        <v>24000</v>
      </c>
      <c r="F36" s="88">
        <v>1200</v>
      </c>
      <c r="G36" s="88">
        <f>21800+1000-3000</f>
        <v>19800</v>
      </c>
      <c r="H36" s="88">
        <v>0</v>
      </c>
      <c r="I36" s="88">
        <f>3000</f>
        <v>3000</v>
      </c>
      <c r="J36" s="88">
        <v>0</v>
      </c>
      <c r="K36" s="88">
        <v>0</v>
      </c>
      <c r="L36" s="425">
        <v>0</v>
      </c>
    </row>
    <row r="37" spans="1:12" ht="15">
      <c r="A37" s="421"/>
      <c r="B37" s="160">
        <v>75075</v>
      </c>
      <c r="C37" s="161" t="s">
        <v>145</v>
      </c>
      <c r="D37" s="88">
        <f t="shared" si="3"/>
        <v>40000</v>
      </c>
      <c r="E37" s="74">
        <f t="shared" si="6"/>
        <v>40000</v>
      </c>
      <c r="F37" s="78">
        <f aca="true" t="shared" si="7" ref="F37:L37">SUM(F38)</f>
        <v>0</v>
      </c>
      <c r="G37" s="78">
        <f t="shared" si="7"/>
        <v>40000</v>
      </c>
      <c r="H37" s="78">
        <f t="shared" si="7"/>
        <v>0</v>
      </c>
      <c r="I37" s="78">
        <f t="shared" si="7"/>
        <v>0</v>
      </c>
      <c r="J37" s="78">
        <f t="shared" si="7"/>
        <v>0</v>
      </c>
      <c r="K37" s="78">
        <f t="shared" si="7"/>
        <v>0</v>
      </c>
      <c r="L37" s="422">
        <f t="shared" si="7"/>
        <v>0</v>
      </c>
    </row>
    <row r="38" spans="1:12" ht="15" hidden="1">
      <c r="A38" s="426"/>
      <c r="B38" s="167"/>
      <c r="C38" s="168" t="s">
        <v>146</v>
      </c>
      <c r="D38" s="169">
        <f t="shared" si="3"/>
        <v>40000</v>
      </c>
      <c r="E38" s="74">
        <f t="shared" si="6"/>
        <v>40000</v>
      </c>
      <c r="F38" s="94">
        <v>0</v>
      </c>
      <c r="G38" s="94">
        <f>50000-10000</f>
        <v>40000</v>
      </c>
      <c r="H38" s="94">
        <v>0</v>
      </c>
      <c r="I38" s="94">
        <v>0</v>
      </c>
      <c r="J38" s="94">
        <v>0</v>
      </c>
      <c r="K38" s="94">
        <v>0</v>
      </c>
      <c r="L38" s="420">
        <v>0</v>
      </c>
    </row>
    <row r="39" spans="1:12" ht="15.75" thickBot="1">
      <c r="A39" s="421"/>
      <c r="B39" s="160">
        <v>75095</v>
      </c>
      <c r="C39" s="161" t="s">
        <v>274</v>
      </c>
      <c r="D39" s="88">
        <f>E39+L39</f>
        <v>20000</v>
      </c>
      <c r="E39" s="74">
        <f t="shared" si="6"/>
        <v>20000</v>
      </c>
      <c r="F39" s="78">
        <f>0</f>
        <v>0</v>
      </c>
      <c r="G39" s="78">
        <f>0</f>
        <v>0</v>
      </c>
      <c r="H39" s="78">
        <f>50000-30000</f>
        <v>20000</v>
      </c>
      <c r="I39" s="78">
        <v>0</v>
      </c>
      <c r="J39" s="78">
        <f>SUM(J40)</f>
        <v>0</v>
      </c>
      <c r="K39" s="78">
        <f>SUM(K40)</f>
        <v>0</v>
      </c>
      <c r="L39" s="422">
        <f>SUM(L40)</f>
        <v>0</v>
      </c>
    </row>
    <row r="40" spans="1:12" ht="34.5" thickBot="1" thickTop="1">
      <c r="A40" s="410">
        <v>754</v>
      </c>
      <c r="B40" s="150"/>
      <c r="C40" s="154" t="s">
        <v>10</v>
      </c>
      <c r="D40" s="68">
        <f t="shared" si="3"/>
        <v>2967000</v>
      </c>
      <c r="E40" s="69">
        <f>F40+G40+H40+K40+I40</f>
        <v>2967000</v>
      </c>
      <c r="F40" s="68">
        <f aca="true" t="shared" si="8" ref="F40:L40">F41+F42</f>
        <v>2441263</v>
      </c>
      <c r="G40" s="68">
        <f t="shared" si="8"/>
        <v>335737</v>
      </c>
      <c r="H40" s="68">
        <f t="shared" si="8"/>
        <v>0</v>
      </c>
      <c r="I40" s="68">
        <f>I41+I42</f>
        <v>190000</v>
      </c>
      <c r="J40" s="68">
        <f t="shared" si="8"/>
        <v>0</v>
      </c>
      <c r="K40" s="68">
        <f t="shared" si="8"/>
        <v>0</v>
      </c>
      <c r="L40" s="411">
        <f t="shared" si="8"/>
        <v>0</v>
      </c>
    </row>
    <row r="41" spans="1:12" ht="30.75" thickTop="1">
      <c r="A41" s="412"/>
      <c r="B41" s="152">
        <v>75411</v>
      </c>
      <c r="C41" s="153" t="s">
        <v>147</v>
      </c>
      <c r="D41" s="73">
        <f t="shared" si="3"/>
        <v>2897000</v>
      </c>
      <c r="E41" s="74">
        <f>SUM(F41:K41)</f>
        <v>2897000</v>
      </c>
      <c r="F41" s="73">
        <f>2429213+12050</f>
        <v>2441263</v>
      </c>
      <c r="G41" s="73">
        <f>455737-190000</f>
        <v>265737</v>
      </c>
      <c r="H41" s="73">
        <v>0</v>
      </c>
      <c r="I41" s="73">
        <f>190000</f>
        <v>190000</v>
      </c>
      <c r="J41" s="73">
        <v>0</v>
      </c>
      <c r="K41" s="73">
        <v>0</v>
      </c>
      <c r="L41" s="413">
        <v>0</v>
      </c>
    </row>
    <row r="42" spans="1:12" ht="15.75" thickBot="1">
      <c r="A42" s="424"/>
      <c r="B42" s="165">
        <v>75495</v>
      </c>
      <c r="C42" s="166" t="s">
        <v>140</v>
      </c>
      <c r="D42" s="88">
        <f t="shared" si="3"/>
        <v>70000</v>
      </c>
      <c r="E42" s="74">
        <f>SUM(F42:K42)</f>
        <v>70000</v>
      </c>
      <c r="F42" s="88">
        <v>0</v>
      </c>
      <c r="G42" s="88">
        <f>70000</f>
        <v>70000</v>
      </c>
      <c r="H42" s="88">
        <v>0</v>
      </c>
      <c r="I42" s="88">
        <v>0</v>
      </c>
      <c r="J42" s="88">
        <v>0</v>
      </c>
      <c r="K42" s="88">
        <v>0</v>
      </c>
      <c r="L42" s="425">
        <f>40000-40000</f>
        <v>0</v>
      </c>
    </row>
    <row r="43" spans="1:12" ht="18" thickBot="1" thickTop="1">
      <c r="A43" s="410">
        <v>757</v>
      </c>
      <c r="B43" s="150"/>
      <c r="C43" s="154" t="s">
        <v>11</v>
      </c>
      <c r="D43" s="68">
        <f t="shared" si="3"/>
        <v>850000</v>
      </c>
      <c r="E43" s="69">
        <f>F43+G43+H43+K43+I43</f>
        <v>850000</v>
      </c>
      <c r="F43" s="68">
        <f aca="true" t="shared" si="9" ref="F43:L43">F44</f>
        <v>0</v>
      </c>
      <c r="G43" s="68">
        <f t="shared" si="9"/>
        <v>0</v>
      </c>
      <c r="H43" s="68">
        <f t="shared" si="9"/>
        <v>0</v>
      </c>
      <c r="I43" s="68">
        <f t="shared" si="9"/>
        <v>0</v>
      </c>
      <c r="J43" s="68">
        <f t="shared" si="9"/>
        <v>0</v>
      </c>
      <c r="K43" s="68">
        <f t="shared" si="9"/>
        <v>850000</v>
      </c>
      <c r="L43" s="411">
        <f t="shared" si="9"/>
        <v>0</v>
      </c>
    </row>
    <row r="44" spans="1:12" s="15" customFormat="1" ht="31.5" thickBot="1" thickTop="1">
      <c r="A44" s="427"/>
      <c r="B44" s="170">
        <v>75702</v>
      </c>
      <c r="C44" s="171" t="s">
        <v>248</v>
      </c>
      <c r="D44" s="109">
        <f t="shared" si="3"/>
        <v>850000</v>
      </c>
      <c r="E44" s="110">
        <f>SUM(F44:K44)</f>
        <v>850000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850000</v>
      </c>
      <c r="L44" s="428">
        <v>0</v>
      </c>
    </row>
    <row r="45" spans="1:12" s="15" customFormat="1" ht="18" thickBot="1" thickTop="1">
      <c r="A45" s="410">
        <v>758</v>
      </c>
      <c r="B45" s="150"/>
      <c r="C45" s="154" t="s">
        <v>12</v>
      </c>
      <c r="D45" s="68">
        <f t="shared" si="3"/>
        <v>323342</v>
      </c>
      <c r="E45" s="69">
        <f>F45+G45+H45+K45+I45</f>
        <v>228342</v>
      </c>
      <c r="F45" s="68">
        <f aca="true" t="shared" si="10" ref="F45:L45">F46</f>
        <v>0</v>
      </c>
      <c r="G45" s="68">
        <f t="shared" si="10"/>
        <v>228342</v>
      </c>
      <c r="H45" s="68">
        <f t="shared" si="10"/>
        <v>0</v>
      </c>
      <c r="I45" s="68">
        <f t="shared" si="10"/>
        <v>0</v>
      </c>
      <c r="J45" s="68">
        <f t="shared" si="10"/>
        <v>0</v>
      </c>
      <c r="K45" s="68">
        <f t="shared" si="10"/>
        <v>0</v>
      </c>
      <c r="L45" s="411">
        <f t="shared" si="10"/>
        <v>95000</v>
      </c>
    </row>
    <row r="46" spans="1:12" ht="15.75" thickTop="1">
      <c r="A46" s="419"/>
      <c r="B46" s="157">
        <v>75818</v>
      </c>
      <c r="C46" s="158" t="s">
        <v>148</v>
      </c>
      <c r="D46" s="109">
        <f>E46+L46</f>
        <v>323342</v>
      </c>
      <c r="E46" s="110">
        <f>SUM(F46:K46)</f>
        <v>228342</v>
      </c>
      <c r="F46" s="94">
        <f aca="true" t="shared" si="11" ref="F46:L46">F47+F48</f>
        <v>0</v>
      </c>
      <c r="G46" s="94">
        <f>G47+G48</f>
        <v>228342</v>
      </c>
      <c r="H46" s="94">
        <f t="shared" si="11"/>
        <v>0</v>
      </c>
      <c r="I46" s="94">
        <f>I47+I48</f>
        <v>0</v>
      </c>
      <c r="J46" s="94">
        <f>J47+J48</f>
        <v>0</v>
      </c>
      <c r="K46" s="94">
        <f t="shared" si="11"/>
        <v>0</v>
      </c>
      <c r="L46" s="420">
        <f t="shared" si="11"/>
        <v>95000</v>
      </c>
    </row>
    <row r="47" spans="1:12" ht="15">
      <c r="A47" s="421"/>
      <c r="B47" s="160"/>
      <c r="C47" s="95" t="s">
        <v>241</v>
      </c>
      <c r="D47" s="73">
        <f t="shared" si="3"/>
        <v>308342</v>
      </c>
      <c r="E47" s="93">
        <f>SUM(F47:K47)</f>
        <v>213342</v>
      </c>
      <c r="F47" s="78">
        <v>0</v>
      </c>
      <c r="G47" s="78">
        <f>308342-95000</f>
        <v>213342</v>
      </c>
      <c r="H47" s="78">
        <v>0</v>
      </c>
      <c r="I47" s="78">
        <v>0</v>
      </c>
      <c r="J47" s="78">
        <v>0</v>
      </c>
      <c r="K47" s="78">
        <v>0</v>
      </c>
      <c r="L47" s="422">
        <v>95000</v>
      </c>
    </row>
    <row r="48" spans="1:12" ht="15">
      <c r="A48" s="419"/>
      <c r="B48" s="157"/>
      <c r="C48" s="172" t="s">
        <v>149</v>
      </c>
      <c r="D48" s="94">
        <f t="shared" si="3"/>
        <v>15000</v>
      </c>
      <c r="E48" s="93">
        <f>SUM(F48:K48)</f>
        <v>15000</v>
      </c>
      <c r="F48" s="94">
        <v>0</v>
      </c>
      <c r="G48" s="94">
        <f>SUM(G49)</f>
        <v>15000</v>
      </c>
      <c r="H48" s="94">
        <f>SUM(H49:H49)</f>
        <v>0</v>
      </c>
      <c r="I48" s="94">
        <f>SUM(I49:I49)</f>
        <v>0</v>
      </c>
      <c r="J48" s="94">
        <f>SUM(J49:J49)</f>
        <v>0</v>
      </c>
      <c r="K48" s="94">
        <f>SUM(K49:K49)</f>
        <v>0</v>
      </c>
      <c r="L48" s="422">
        <v>0</v>
      </c>
    </row>
    <row r="49" spans="1:12" ht="29.25" thickBot="1">
      <c r="A49" s="421"/>
      <c r="B49" s="160"/>
      <c r="C49" s="173" t="s">
        <v>150</v>
      </c>
      <c r="D49" s="78">
        <f>E49</f>
        <v>15000</v>
      </c>
      <c r="E49" s="74">
        <f>SUM(F49:K49)</f>
        <v>15000</v>
      </c>
      <c r="F49" s="78">
        <v>0</v>
      </c>
      <c r="G49" s="78">
        <v>15000</v>
      </c>
      <c r="H49" s="78">
        <v>0</v>
      </c>
      <c r="I49" s="78">
        <v>0</v>
      </c>
      <c r="J49" s="78">
        <v>0</v>
      </c>
      <c r="K49" s="78">
        <v>0</v>
      </c>
      <c r="L49" s="422">
        <v>0</v>
      </c>
    </row>
    <row r="50" spans="1:12" ht="18" thickBot="1" thickTop="1">
      <c r="A50" s="410">
        <v>801</v>
      </c>
      <c r="B50" s="150"/>
      <c r="C50" s="154" t="s">
        <v>82</v>
      </c>
      <c r="D50" s="68">
        <f aca="true" t="shared" si="12" ref="D50:D87">E50+L50</f>
        <v>10926366</v>
      </c>
      <c r="E50" s="69">
        <f>F50+G50+H50+K50+I50</f>
        <v>10926366</v>
      </c>
      <c r="F50" s="68">
        <f aca="true" t="shared" si="13" ref="F50:L50">F51+F52+F53+F61+F64+F66+F69+F70</f>
        <v>7495361</v>
      </c>
      <c r="G50" s="68">
        <f t="shared" si="13"/>
        <v>1484192</v>
      </c>
      <c r="H50" s="68">
        <f>H51+H52+H53+H61+H64+H66+H69+H70</f>
        <v>1941813</v>
      </c>
      <c r="I50" s="68">
        <f>I51+I52+I53+I61+I64+I66+I69+I70</f>
        <v>5000</v>
      </c>
      <c r="J50" s="68">
        <f t="shared" si="13"/>
        <v>0</v>
      </c>
      <c r="K50" s="68">
        <f t="shared" si="13"/>
        <v>0</v>
      </c>
      <c r="L50" s="411">
        <f t="shared" si="13"/>
        <v>0</v>
      </c>
    </row>
    <row r="51" spans="1:12" ht="15.75" thickTop="1">
      <c r="A51" s="412"/>
      <c r="B51" s="152">
        <v>80102</v>
      </c>
      <c r="C51" s="153" t="s">
        <v>83</v>
      </c>
      <c r="D51" s="73">
        <f t="shared" si="12"/>
        <v>287843</v>
      </c>
      <c r="E51" s="74">
        <f aca="true" t="shared" si="14" ref="E51:E58">SUM(F51:K51)</f>
        <v>287843</v>
      </c>
      <c r="F51" s="73">
        <f>228782+41250</f>
        <v>270032</v>
      </c>
      <c r="G51" s="73">
        <f>17811</f>
        <v>17811</v>
      </c>
      <c r="H51" s="73">
        <v>0</v>
      </c>
      <c r="I51" s="73">
        <v>0</v>
      </c>
      <c r="J51" s="73">
        <v>0</v>
      </c>
      <c r="K51" s="73">
        <v>0</v>
      </c>
      <c r="L51" s="413">
        <v>0</v>
      </c>
    </row>
    <row r="52" spans="1:12" ht="15">
      <c r="A52" s="421"/>
      <c r="B52" s="160">
        <v>80111</v>
      </c>
      <c r="C52" s="161" t="s">
        <v>84</v>
      </c>
      <c r="D52" s="78">
        <f t="shared" si="12"/>
        <v>607861</v>
      </c>
      <c r="E52" s="74">
        <f t="shared" si="14"/>
        <v>607861</v>
      </c>
      <c r="F52" s="78">
        <f>583446</f>
        <v>583446</v>
      </c>
      <c r="G52" s="78">
        <f>24415</f>
        <v>24415</v>
      </c>
      <c r="H52" s="78">
        <v>0</v>
      </c>
      <c r="I52" s="78">
        <v>0</v>
      </c>
      <c r="J52" s="78">
        <v>0</v>
      </c>
      <c r="K52" s="78">
        <v>0</v>
      </c>
      <c r="L52" s="413">
        <v>0</v>
      </c>
    </row>
    <row r="53" spans="1:12" ht="15">
      <c r="A53" s="421"/>
      <c r="B53" s="160">
        <v>80120</v>
      </c>
      <c r="C53" s="161" t="s">
        <v>85</v>
      </c>
      <c r="D53" s="78">
        <f t="shared" si="12"/>
        <v>2626880</v>
      </c>
      <c r="E53" s="74">
        <f t="shared" si="14"/>
        <v>2626880</v>
      </c>
      <c r="F53" s="78">
        <f aca="true" t="shared" si="15" ref="F53:L53">SUM(F54:F60)</f>
        <v>2160292</v>
      </c>
      <c r="G53" s="78">
        <f t="shared" si="15"/>
        <v>333980</v>
      </c>
      <c r="H53" s="78">
        <f>SUM(H54:H60)</f>
        <v>130608</v>
      </c>
      <c r="I53" s="78">
        <f>SUM(I54:I60)</f>
        <v>2000</v>
      </c>
      <c r="J53" s="78">
        <f t="shared" si="15"/>
        <v>0</v>
      </c>
      <c r="K53" s="78">
        <f t="shared" si="15"/>
        <v>0</v>
      </c>
      <c r="L53" s="422">
        <f t="shared" si="15"/>
        <v>0</v>
      </c>
    </row>
    <row r="54" spans="1:12" ht="15" hidden="1">
      <c r="A54" s="423"/>
      <c r="B54" s="162"/>
      <c r="C54" s="163" t="s">
        <v>151</v>
      </c>
      <c r="D54" s="164">
        <f t="shared" si="12"/>
        <v>2395663</v>
      </c>
      <c r="E54" s="93">
        <f t="shared" si="14"/>
        <v>2395663</v>
      </c>
      <c r="F54" s="78">
        <f>2075083</f>
        <v>2075083</v>
      </c>
      <c r="G54" s="78">
        <f>320580-2000</f>
        <v>318580</v>
      </c>
      <c r="H54" s="78">
        <v>0</v>
      </c>
      <c r="I54" s="78">
        <f>2000</f>
        <v>2000</v>
      </c>
      <c r="J54" s="78">
        <v>0</v>
      </c>
      <c r="K54" s="78">
        <v>0</v>
      </c>
      <c r="L54" s="422">
        <f>0</f>
        <v>0</v>
      </c>
    </row>
    <row r="55" spans="1:12" ht="15" hidden="1">
      <c r="A55" s="423"/>
      <c r="B55" s="162"/>
      <c r="C55" s="163" t="s">
        <v>295</v>
      </c>
      <c r="D55" s="164">
        <f t="shared" si="12"/>
        <v>0</v>
      </c>
      <c r="E55" s="93">
        <f t="shared" si="14"/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422">
        <v>0</v>
      </c>
    </row>
    <row r="56" spans="1:12" ht="15" hidden="1">
      <c r="A56" s="423"/>
      <c r="B56" s="162"/>
      <c r="C56" s="163" t="s">
        <v>152</v>
      </c>
      <c r="D56" s="164">
        <f t="shared" si="12"/>
        <v>74880</v>
      </c>
      <c r="E56" s="93">
        <f t="shared" si="14"/>
        <v>74880</v>
      </c>
      <c r="F56" s="78">
        <v>0</v>
      </c>
      <c r="G56" s="78">
        <v>0</v>
      </c>
      <c r="H56" s="78">
        <v>74880</v>
      </c>
      <c r="I56" s="78">
        <v>0</v>
      </c>
      <c r="J56" s="78">
        <v>0</v>
      </c>
      <c r="K56" s="78">
        <v>0</v>
      </c>
      <c r="L56" s="422">
        <v>0</v>
      </c>
    </row>
    <row r="57" spans="1:12" ht="15" hidden="1">
      <c r="A57" s="423"/>
      <c r="B57" s="162"/>
      <c r="C57" s="163" t="s">
        <v>153</v>
      </c>
      <c r="D57" s="164">
        <f t="shared" si="12"/>
        <v>18648</v>
      </c>
      <c r="E57" s="93">
        <f t="shared" si="14"/>
        <v>18648</v>
      </c>
      <c r="F57" s="78">
        <v>0</v>
      </c>
      <c r="G57" s="78">
        <v>0</v>
      </c>
      <c r="H57" s="78">
        <v>18648</v>
      </c>
      <c r="I57" s="78">
        <v>0</v>
      </c>
      <c r="J57" s="78">
        <v>0</v>
      </c>
      <c r="K57" s="78">
        <v>0</v>
      </c>
      <c r="L57" s="422">
        <v>0</v>
      </c>
    </row>
    <row r="58" spans="1:12" ht="15" hidden="1">
      <c r="A58" s="423"/>
      <c r="B58" s="162"/>
      <c r="C58" s="163" t="s">
        <v>154</v>
      </c>
      <c r="D58" s="164">
        <f t="shared" si="12"/>
        <v>100609</v>
      </c>
      <c r="E58" s="93">
        <f t="shared" si="14"/>
        <v>100609</v>
      </c>
      <c r="F58" s="78">
        <f>71991+13218</f>
        <v>85209</v>
      </c>
      <c r="G58" s="78">
        <f>15400</f>
        <v>15400</v>
      </c>
      <c r="H58" s="78">
        <v>0</v>
      </c>
      <c r="I58" s="78">
        <v>0</v>
      </c>
      <c r="J58" s="78">
        <v>0</v>
      </c>
      <c r="K58" s="78">
        <v>0</v>
      </c>
      <c r="L58" s="422">
        <v>0</v>
      </c>
    </row>
    <row r="59" spans="1:12" ht="15" hidden="1">
      <c r="A59" s="423"/>
      <c r="B59" s="162"/>
      <c r="C59" s="163" t="s">
        <v>279</v>
      </c>
      <c r="D59" s="164">
        <f t="shared" si="12"/>
        <v>1512</v>
      </c>
      <c r="E59" s="93">
        <f aca="true" t="shared" si="16" ref="E59:E70">SUM(F59:K59)</f>
        <v>1512</v>
      </c>
      <c r="F59" s="78">
        <f>0</f>
        <v>0</v>
      </c>
      <c r="G59" s="78">
        <v>0</v>
      </c>
      <c r="H59" s="78">
        <v>1512</v>
      </c>
      <c r="I59" s="78">
        <v>0</v>
      </c>
      <c r="J59" s="78">
        <v>0</v>
      </c>
      <c r="K59" s="78">
        <v>0</v>
      </c>
      <c r="L59" s="422">
        <v>0</v>
      </c>
    </row>
    <row r="60" spans="1:12" ht="15" hidden="1">
      <c r="A60" s="423"/>
      <c r="B60" s="162"/>
      <c r="C60" s="163" t="s">
        <v>280</v>
      </c>
      <c r="D60" s="164">
        <f t="shared" si="12"/>
        <v>35568</v>
      </c>
      <c r="E60" s="93">
        <f t="shared" si="16"/>
        <v>35568</v>
      </c>
      <c r="F60" s="78">
        <v>0</v>
      </c>
      <c r="G60" s="78">
        <v>0</v>
      </c>
      <c r="H60" s="78">
        <v>35568</v>
      </c>
      <c r="I60" s="78">
        <v>0</v>
      </c>
      <c r="J60" s="78">
        <v>0</v>
      </c>
      <c r="K60" s="78">
        <v>0</v>
      </c>
      <c r="L60" s="422">
        <v>0</v>
      </c>
    </row>
    <row r="61" spans="1:12" ht="15">
      <c r="A61" s="421"/>
      <c r="B61" s="160">
        <v>80130</v>
      </c>
      <c r="C61" s="161" t="s">
        <v>87</v>
      </c>
      <c r="D61" s="78">
        <f t="shared" si="12"/>
        <v>4118940</v>
      </c>
      <c r="E61" s="93">
        <f t="shared" si="16"/>
        <v>4118940</v>
      </c>
      <c r="F61" s="78">
        <f aca="true" t="shared" si="17" ref="F61:L61">SUM(F62:F63)</f>
        <v>3399719</v>
      </c>
      <c r="G61" s="78">
        <f t="shared" si="17"/>
        <v>679141</v>
      </c>
      <c r="H61" s="78">
        <f t="shared" si="17"/>
        <v>37080</v>
      </c>
      <c r="I61" s="78">
        <f t="shared" si="17"/>
        <v>3000</v>
      </c>
      <c r="J61" s="78">
        <f t="shared" si="17"/>
        <v>0</v>
      </c>
      <c r="K61" s="78">
        <f t="shared" si="17"/>
        <v>0</v>
      </c>
      <c r="L61" s="422">
        <f t="shared" si="17"/>
        <v>0</v>
      </c>
    </row>
    <row r="62" spans="1:12" ht="15" hidden="1">
      <c r="A62" s="423"/>
      <c r="B62" s="162"/>
      <c r="C62" s="163" t="s">
        <v>154</v>
      </c>
      <c r="D62" s="164">
        <f t="shared" si="12"/>
        <v>4081860</v>
      </c>
      <c r="E62" s="93">
        <f t="shared" si="16"/>
        <v>4081860</v>
      </c>
      <c r="F62" s="78">
        <f>3399719</f>
        <v>3399719</v>
      </c>
      <c r="G62" s="78">
        <f>682141-3000</f>
        <v>679141</v>
      </c>
      <c r="H62" s="78">
        <v>0</v>
      </c>
      <c r="I62" s="78">
        <f>3000</f>
        <v>3000</v>
      </c>
      <c r="J62" s="78">
        <v>0</v>
      </c>
      <c r="K62" s="78">
        <v>0</v>
      </c>
      <c r="L62" s="422">
        <f>0</f>
        <v>0</v>
      </c>
    </row>
    <row r="63" spans="1:12" ht="15" hidden="1">
      <c r="A63" s="423"/>
      <c r="B63" s="162"/>
      <c r="C63" s="163" t="s">
        <v>155</v>
      </c>
      <c r="D63" s="164">
        <f t="shared" si="12"/>
        <v>37080</v>
      </c>
      <c r="E63" s="93">
        <f t="shared" si="16"/>
        <v>37080</v>
      </c>
      <c r="F63" s="78">
        <v>0</v>
      </c>
      <c r="G63" s="78">
        <v>0</v>
      </c>
      <c r="H63" s="78">
        <v>37080</v>
      </c>
      <c r="I63" s="78">
        <v>0</v>
      </c>
      <c r="J63" s="78">
        <v>0</v>
      </c>
      <c r="K63" s="78">
        <v>0</v>
      </c>
      <c r="L63" s="422">
        <v>0</v>
      </c>
    </row>
    <row r="64" spans="1:12" ht="15">
      <c r="A64" s="421"/>
      <c r="B64" s="160">
        <v>80134</v>
      </c>
      <c r="C64" s="161" t="s">
        <v>91</v>
      </c>
      <c r="D64" s="78">
        <f t="shared" si="12"/>
        <v>820779</v>
      </c>
      <c r="E64" s="93">
        <f t="shared" si="16"/>
        <v>820779</v>
      </c>
      <c r="F64" s="78">
        <f>SUM(F65)</f>
        <v>773108</v>
      </c>
      <c r="G64" s="78">
        <f>SUM(G65)</f>
        <v>47671</v>
      </c>
      <c r="H64" s="78">
        <f>H65</f>
        <v>0</v>
      </c>
      <c r="I64" s="78">
        <f>I65</f>
        <v>0</v>
      </c>
      <c r="J64" s="78">
        <f>J65</f>
        <v>0</v>
      </c>
      <c r="K64" s="78">
        <f>K65</f>
        <v>0</v>
      </c>
      <c r="L64" s="422">
        <f>L65</f>
        <v>0</v>
      </c>
    </row>
    <row r="65" spans="1:12" ht="15" hidden="1">
      <c r="A65" s="423"/>
      <c r="B65" s="162"/>
      <c r="C65" s="163" t="s">
        <v>156</v>
      </c>
      <c r="D65" s="164">
        <f t="shared" si="12"/>
        <v>820779</v>
      </c>
      <c r="E65" s="93">
        <f t="shared" si="16"/>
        <v>820779</v>
      </c>
      <c r="F65" s="78">
        <f>773108</f>
        <v>773108</v>
      </c>
      <c r="G65" s="78">
        <f>47671</f>
        <v>47671</v>
      </c>
      <c r="H65" s="78">
        <v>0</v>
      </c>
      <c r="I65" s="78">
        <v>0</v>
      </c>
      <c r="J65" s="78">
        <v>0</v>
      </c>
      <c r="K65" s="78">
        <v>0</v>
      </c>
      <c r="L65" s="422">
        <v>0</v>
      </c>
    </row>
    <row r="66" spans="1:12" ht="29.25" customHeight="1">
      <c r="A66" s="421"/>
      <c r="B66" s="160">
        <v>80144</v>
      </c>
      <c r="C66" s="161" t="s">
        <v>157</v>
      </c>
      <c r="D66" s="78">
        <f t="shared" si="12"/>
        <v>2254125</v>
      </c>
      <c r="E66" s="93">
        <f t="shared" si="16"/>
        <v>2254125</v>
      </c>
      <c r="F66" s="78">
        <f aca="true" t="shared" si="18" ref="F66:K66">SUM(F67:F68)</f>
        <v>282549</v>
      </c>
      <c r="G66" s="78">
        <f t="shared" si="18"/>
        <v>197451</v>
      </c>
      <c r="H66" s="78">
        <f t="shared" si="18"/>
        <v>1774125</v>
      </c>
      <c r="I66" s="78">
        <f t="shared" si="18"/>
        <v>0</v>
      </c>
      <c r="J66" s="78">
        <f t="shared" si="18"/>
        <v>0</v>
      </c>
      <c r="K66" s="78">
        <f t="shared" si="18"/>
        <v>0</v>
      </c>
      <c r="L66" s="422">
        <f>SUM(L67)</f>
        <v>0</v>
      </c>
    </row>
    <row r="67" spans="1:12" ht="30" hidden="1">
      <c r="A67" s="423"/>
      <c r="B67" s="162"/>
      <c r="C67" s="163" t="s">
        <v>158</v>
      </c>
      <c r="D67" s="164">
        <f t="shared" si="12"/>
        <v>1774125</v>
      </c>
      <c r="E67" s="93">
        <f t="shared" si="16"/>
        <v>1774125</v>
      </c>
      <c r="F67" s="78">
        <v>0</v>
      </c>
      <c r="G67" s="78">
        <v>0</v>
      </c>
      <c r="H67" s="78">
        <v>1774125</v>
      </c>
      <c r="I67" s="78">
        <v>0</v>
      </c>
      <c r="J67" s="78">
        <v>0</v>
      </c>
      <c r="K67" s="78">
        <v>0</v>
      </c>
      <c r="L67" s="422">
        <v>0</v>
      </c>
    </row>
    <row r="68" spans="1:12" ht="15" hidden="1">
      <c r="A68" s="423"/>
      <c r="B68" s="162"/>
      <c r="C68" s="163" t="s">
        <v>297</v>
      </c>
      <c r="D68" s="164">
        <f t="shared" si="12"/>
        <v>480000</v>
      </c>
      <c r="E68" s="93">
        <f t="shared" si="16"/>
        <v>480000</v>
      </c>
      <c r="F68" s="78">
        <f>244481+38068</f>
        <v>282549</v>
      </c>
      <c r="G68" s="78">
        <f>197451</f>
        <v>197451</v>
      </c>
      <c r="H68" s="78">
        <v>0</v>
      </c>
      <c r="I68" s="78">
        <v>0</v>
      </c>
      <c r="J68" s="78">
        <v>0</v>
      </c>
      <c r="K68" s="78">
        <v>0</v>
      </c>
      <c r="L68" s="422">
        <v>0</v>
      </c>
    </row>
    <row r="69" spans="1:12" ht="15">
      <c r="A69" s="421"/>
      <c r="B69" s="160">
        <v>80146</v>
      </c>
      <c r="C69" s="161" t="s">
        <v>159</v>
      </c>
      <c r="D69" s="78">
        <f t="shared" si="12"/>
        <v>60870</v>
      </c>
      <c r="E69" s="93">
        <f t="shared" si="16"/>
        <v>60870</v>
      </c>
      <c r="F69" s="78">
        <v>0</v>
      </c>
      <c r="G69" s="78">
        <v>60870</v>
      </c>
      <c r="H69" s="78">
        <v>0</v>
      </c>
      <c r="I69" s="78">
        <v>0</v>
      </c>
      <c r="J69" s="78">
        <v>0</v>
      </c>
      <c r="K69" s="78">
        <v>0</v>
      </c>
      <c r="L69" s="422">
        <v>0</v>
      </c>
    </row>
    <row r="70" spans="1:12" ht="15.75" thickBot="1">
      <c r="A70" s="421"/>
      <c r="B70" s="160">
        <v>80195</v>
      </c>
      <c r="C70" s="161" t="s">
        <v>140</v>
      </c>
      <c r="D70" s="78">
        <f t="shared" si="12"/>
        <v>149068</v>
      </c>
      <c r="E70" s="93">
        <f t="shared" si="16"/>
        <v>149068</v>
      </c>
      <c r="F70" s="78">
        <f>26215</f>
        <v>26215</v>
      </c>
      <c r="G70" s="78">
        <f>122853</f>
        <v>122853</v>
      </c>
      <c r="H70" s="78">
        <v>0</v>
      </c>
      <c r="I70" s="78">
        <v>0</v>
      </c>
      <c r="J70" s="78">
        <v>0</v>
      </c>
      <c r="K70" s="78">
        <v>0</v>
      </c>
      <c r="L70" s="422">
        <v>0</v>
      </c>
    </row>
    <row r="71" spans="1:12" ht="18" thickBot="1" thickTop="1">
      <c r="A71" s="410">
        <v>851</v>
      </c>
      <c r="B71" s="150"/>
      <c r="C71" s="154" t="s">
        <v>13</v>
      </c>
      <c r="D71" s="68">
        <f t="shared" si="12"/>
        <v>1960556</v>
      </c>
      <c r="E71" s="69">
        <f>F71+G71+H71+K71+I71</f>
        <v>1960556</v>
      </c>
      <c r="F71" s="68">
        <f>F72+F76</f>
        <v>0</v>
      </c>
      <c r="G71" s="68">
        <f>G72+G76</f>
        <v>1960556</v>
      </c>
      <c r="H71" s="68">
        <f>H72</f>
        <v>0</v>
      </c>
      <c r="I71" s="68">
        <f>I72</f>
        <v>0</v>
      </c>
      <c r="J71" s="68">
        <f>J72</f>
        <v>0</v>
      </c>
      <c r="K71" s="68">
        <f>K72</f>
        <v>0</v>
      </c>
      <c r="L71" s="411">
        <f>L72</f>
        <v>0</v>
      </c>
    </row>
    <row r="72" spans="1:12" ht="45.75" thickTop="1">
      <c r="A72" s="412"/>
      <c r="B72" s="152">
        <v>85156</v>
      </c>
      <c r="C72" s="153" t="s">
        <v>92</v>
      </c>
      <c r="D72" s="73">
        <f t="shared" si="12"/>
        <v>1672000</v>
      </c>
      <c r="E72" s="74">
        <f aca="true" t="shared" si="19" ref="E72:E77">SUM(F72:K72)</f>
        <v>1672000</v>
      </c>
      <c r="F72" s="73">
        <f aca="true" t="shared" si="20" ref="F72:L72">F73+F74+F75</f>
        <v>0</v>
      </c>
      <c r="G72" s="73">
        <f t="shared" si="20"/>
        <v>1672000</v>
      </c>
      <c r="H72" s="73">
        <f t="shared" si="20"/>
        <v>0</v>
      </c>
      <c r="I72" s="73">
        <f>I73+I74+I75</f>
        <v>0</v>
      </c>
      <c r="J72" s="73">
        <f t="shared" si="20"/>
        <v>0</v>
      </c>
      <c r="K72" s="73">
        <f t="shared" si="20"/>
        <v>0</v>
      </c>
      <c r="L72" s="413">
        <f t="shared" si="20"/>
        <v>0</v>
      </c>
    </row>
    <row r="73" spans="1:12" ht="15" hidden="1">
      <c r="A73" s="423"/>
      <c r="B73" s="162"/>
      <c r="C73" s="163" t="s">
        <v>160</v>
      </c>
      <c r="D73" s="164">
        <f t="shared" si="12"/>
        <v>1659000</v>
      </c>
      <c r="E73" s="74">
        <f t="shared" si="19"/>
        <v>1659000</v>
      </c>
      <c r="F73" s="78">
        <v>0</v>
      </c>
      <c r="G73" s="78">
        <v>1659000</v>
      </c>
      <c r="H73" s="78">
        <v>0</v>
      </c>
      <c r="I73" s="78">
        <v>0</v>
      </c>
      <c r="J73" s="78">
        <v>0</v>
      </c>
      <c r="K73" s="78">
        <v>0</v>
      </c>
      <c r="L73" s="422">
        <v>0</v>
      </c>
    </row>
    <row r="74" spans="1:12" ht="15" hidden="1">
      <c r="A74" s="423"/>
      <c r="B74" s="162"/>
      <c r="C74" s="163" t="s">
        <v>161</v>
      </c>
      <c r="D74" s="164">
        <f t="shared" si="12"/>
        <v>13000</v>
      </c>
      <c r="E74" s="74">
        <f t="shared" si="19"/>
        <v>13000</v>
      </c>
      <c r="F74" s="78">
        <v>0</v>
      </c>
      <c r="G74" s="78">
        <v>13000</v>
      </c>
      <c r="H74" s="78">
        <v>0</v>
      </c>
      <c r="I74" s="78">
        <v>0</v>
      </c>
      <c r="J74" s="78">
        <v>0</v>
      </c>
      <c r="K74" s="78">
        <v>0</v>
      </c>
      <c r="L74" s="422">
        <v>0</v>
      </c>
    </row>
    <row r="75" spans="1:12" ht="15" hidden="1">
      <c r="A75" s="423"/>
      <c r="B75" s="162"/>
      <c r="C75" s="163" t="s">
        <v>162</v>
      </c>
      <c r="D75" s="164">
        <f t="shared" si="12"/>
        <v>0</v>
      </c>
      <c r="E75" s="74">
        <f t="shared" si="19"/>
        <v>0</v>
      </c>
      <c r="F75" s="78">
        <v>0</v>
      </c>
      <c r="G75" s="78"/>
      <c r="H75" s="78">
        <v>0</v>
      </c>
      <c r="I75" s="78">
        <v>0</v>
      </c>
      <c r="J75" s="78">
        <v>0</v>
      </c>
      <c r="K75" s="78">
        <v>0</v>
      </c>
      <c r="L75" s="422">
        <v>0</v>
      </c>
    </row>
    <row r="76" spans="1:12" ht="15.75" thickBot="1">
      <c r="A76" s="421"/>
      <c r="B76" s="160">
        <v>85195</v>
      </c>
      <c r="C76" s="161" t="s">
        <v>140</v>
      </c>
      <c r="D76" s="78">
        <f t="shared" si="12"/>
        <v>288556</v>
      </c>
      <c r="E76" s="74">
        <f t="shared" si="19"/>
        <v>288556</v>
      </c>
      <c r="F76" s="78">
        <f>F77</f>
        <v>0</v>
      </c>
      <c r="G76" s="78">
        <f>G77</f>
        <v>288556</v>
      </c>
      <c r="H76" s="78">
        <v>0</v>
      </c>
      <c r="I76" s="78">
        <v>0</v>
      </c>
      <c r="J76" s="78">
        <v>0</v>
      </c>
      <c r="K76" s="78">
        <v>0</v>
      </c>
      <c r="L76" s="422">
        <v>0</v>
      </c>
    </row>
    <row r="77" spans="1:12" ht="15.75" hidden="1" thickBot="1">
      <c r="A77" s="426"/>
      <c r="B77" s="167"/>
      <c r="C77" s="168" t="s">
        <v>163</v>
      </c>
      <c r="D77" s="174">
        <f t="shared" si="12"/>
        <v>288556</v>
      </c>
      <c r="E77" s="74">
        <f t="shared" si="19"/>
        <v>288556</v>
      </c>
      <c r="F77" s="94">
        <v>0</v>
      </c>
      <c r="G77" s="94">
        <f>200000+88556</f>
        <v>288556</v>
      </c>
      <c r="H77" s="94">
        <v>0</v>
      </c>
      <c r="I77" s="94">
        <v>0</v>
      </c>
      <c r="J77" s="94">
        <v>0</v>
      </c>
      <c r="K77" s="94">
        <v>0</v>
      </c>
      <c r="L77" s="420">
        <v>0</v>
      </c>
    </row>
    <row r="78" spans="1:12" ht="18" thickBot="1" thickTop="1">
      <c r="A78" s="410">
        <v>852</v>
      </c>
      <c r="B78" s="175"/>
      <c r="C78" s="154" t="s">
        <v>96</v>
      </c>
      <c r="D78" s="68">
        <f t="shared" si="12"/>
        <v>6101098</v>
      </c>
      <c r="E78" s="69">
        <f>F78+G78+H78+K78+J78+I78</f>
        <v>6011098</v>
      </c>
      <c r="F78" s="68">
        <f aca="true" t="shared" si="21" ref="F78:K78">SUM(F79+F83+F84+F87+F88+F86)</f>
        <v>3260098</v>
      </c>
      <c r="G78" s="68">
        <f t="shared" si="21"/>
        <v>1213392</v>
      </c>
      <c r="H78" s="68">
        <f t="shared" si="21"/>
        <v>591551</v>
      </c>
      <c r="I78" s="68">
        <f t="shared" si="21"/>
        <v>946057</v>
      </c>
      <c r="J78" s="68">
        <f t="shared" si="21"/>
        <v>0</v>
      </c>
      <c r="K78" s="68">
        <f t="shared" si="21"/>
        <v>0</v>
      </c>
      <c r="L78" s="411">
        <f>SUM(L79+L83+L84+L86+L87+L88)</f>
        <v>90000</v>
      </c>
    </row>
    <row r="79" spans="1:12" ht="15.75" thickTop="1">
      <c r="A79" s="412"/>
      <c r="B79" s="152">
        <v>85201</v>
      </c>
      <c r="C79" s="153" t="s">
        <v>164</v>
      </c>
      <c r="D79" s="73">
        <f t="shared" si="12"/>
        <v>2044652</v>
      </c>
      <c r="E79" s="74">
        <f>SUM(F79:K79)</f>
        <v>2044652</v>
      </c>
      <c r="F79" s="73">
        <f aca="true" t="shared" si="22" ref="F79:L79">SUM(F80:F82)</f>
        <v>1026000</v>
      </c>
      <c r="G79" s="73">
        <f t="shared" si="22"/>
        <v>335500</v>
      </c>
      <c r="H79" s="73">
        <f t="shared" si="22"/>
        <v>591551</v>
      </c>
      <c r="I79" s="73">
        <f>SUM(I80:I82)</f>
        <v>91601</v>
      </c>
      <c r="J79" s="73">
        <f t="shared" si="22"/>
        <v>0</v>
      </c>
      <c r="K79" s="73">
        <f t="shared" si="22"/>
        <v>0</v>
      </c>
      <c r="L79" s="413">
        <f t="shared" si="22"/>
        <v>0</v>
      </c>
    </row>
    <row r="80" spans="1:12" ht="15" hidden="1">
      <c r="A80" s="423"/>
      <c r="B80" s="162"/>
      <c r="C80" s="163" t="s">
        <v>161</v>
      </c>
      <c r="D80" s="164">
        <f t="shared" si="12"/>
        <v>1387000</v>
      </c>
      <c r="E80" s="74">
        <f aca="true" t="shared" si="23" ref="E80:E90">SUM(F80:K80)</f>
        <v>1387000</v>
      </c>
      <c r="F80" s="78">
        <f>900000+156000-30000</f>
        <v>1026000</v>
      </c>
      <c r="G80" s="78">
        <f>361000-18000-7500</f>
        <v>335500</v>
      </c>
      <c r="H80" s="78">
        <v>0</v>
      </c>
      <c r="I80" s="78">
        <f>18000+7500</f>
        <v>25500</v>
      </c>
      <c r="J80" s="78">
        <v>0</v>
      </c>
      <c r="K80" s="78">
        <v>0</v>
      </c>
      <c r="L80" s="422">
        <f>120000-120000</f>
        <v>0</v>
      </c>
    </row>
    <row r="81" spans="1:12" ht="15" hidden="1">
      <c r="A81" s="423"/>
      <c r="B81" s="162"/>
      <c r="C81" s="163" t="s">
        <v>165</v>
      </c>
      <c r="D81" s="164">
        <f t="shared" si="12"/>
        <v>66101</v>
      </c>
      <c r="E81" s="74">
        <f t="shared" si="23"/>
        <v>66101</v>
      </c>
      <c r="F81" s="78">
        <v>0</v>
      </c>
      <c r="G81" s="78">
        <f>66101-66101</f>
        <v>0</v>
      </c>
      <c r="H81" s="78">
        <v>0</v>
      </c>
      <c r="I81" s="78">
        <f>66101</f>
        <v>66101</v>
      </c>
      <c r="J81" s="78">
        <v>0</v>
      </c>
      <c r="K81" s="78">
        <v>0</v>
      </c>
      <c r="L81" s="422">
        <v>0</v>
      </c>
    </row>
    <row r="82" spans="1:12" ht="15" hidden="1">
      <c r="A82" s="423"/>
      <c r="B82" s="162"/>
      <c r="C82" s="163" t="s">
        <v>166</v>
      </c>
      <c r="D82" s="164">
        <f t="shared" si="12"/>
        <v>591551</v>
      </c>
      <c r="E82" s="74">
        <f t="shared" si="23"/>
        <v>591551</v>
      </c>
      <c r="F82" s="78">
        <v>0</v>
      </c>
      <c r="G82" s="78">
        <v>0</v>
      </c>
      <c r="H82" s="78">
        <v>591551</v>
      </c>
      <c r="I82" s="78">
        <v>0</v>
      </c>
      <c r="J82" s="78">
        <v>0</v>
      </c>
      <c r="K82" s="78">
        <v>0</v>
      </c>
      <c r="L82" s="422">
        <v>0</v>
      </c>
    </row>
    <row r="83" spans="1:12" ht="15">
      <c r="A83" s="421"/>
      <c r="B83" s="160">
        <v>85202</v>
      </c>
      <c r="C83" s="161" t="s">
        <v>100</v>
      </c>
      <c r="D83" s="78">
        <f t="shared" si="12"/>
        <v>2847175</v>
      </c>
      <c r="E83" s="74">
        <f t="shared" si="23"/>
        <v>2757175</v>
      </c>
      <c r="F83" s="78">
        <f>1648996+283787</f>
        <v>1932783</v>
      </c>
      <c r="G83" s="78">
        <f>864392-40000-7000</f>
        <v>817392</v>
      </c>
      <c r="H83" s="78">
        <v>0</v>
      </c>
      <c r="I83" s="78">
        <f>7000</f>
        <v>7000</v>
      </c>
      <c r="J83" s="78">
        <v>0</v>
      </c>
      <c r="K83" s="78">
        <v>0</v>
      </c>
      <c r="L83" s="422">
        <f>343500-293500+40000</f>
        <v>90000</v>
      </c>
    </row>
    <row r="84" spans="1:12" s="15" customFormat="1" ht="16.5">
      <c r="A84" s="429"/>
      <c r="B84" s="160">
        <v>85204</v>
      </c>
      <c r="C84" s="161" t="s">
        <v>167</v>
      </c>
      <c r="D84" s="78">
        <f t="shared" si="12"/>
        <v>847456</v>
      </c>
      <c r="E84" s="74">
        <f t="shared" si="23"/>
        <v>847456</v>
      </c>
      <c r="F84" s="78">
        <f aca="true" t="shared" si="24" ref="F84:L84">SUM(F85)</f>
        <v>0</v>
      </c>
      <c r="G84" s="78">
        <f>SUM(G85)</f>
        <v>0</v>
      </c>
      <c r="H84" s="78">
        <f t="shared" si="24"/>
        <v>0</v>
      </c>
      <c r="I84" s="78">
        <f t="shared" si="24"/>
        <v>847456</v>
      </c>
      <c r="J84" s="78">
        <f t="shared" si="24"/>
        <v>0</v>
      </c>
      <c r="K84" s="78">
        <f t="shared" si="24"/>
        <v>0</v>
      </c>
      <c r="L84" s="422">
        <f t="shared" si="24"/>
        <v>0</v>
      </c>
    </row>
    <row r="85" spans="1:12" ht="15" hidden="1">
      <c r="A85" s="423"/>
      <c r="B85" s="162"/>
      <c r="C85" s="163" t="s">
        <v>165</v>
      </c>
      <c r="D85" s="164">
        <f t="shared" si="12"/>
        <v>847456</v>
      </c>
      <c r="E85" s="74">
        <f>SUM(F85:K85)</f>
        <v>847456</v>
      </c>
      <c r="F85" s="78">
        <v>0</v>
      </c>
      <c r="G85" s="78">
        <f>877456-30000-847456</f>
        <v>0</v>
      </c>
      <c r="H85" s="78">
        <v>0</v>
      </c>
      <c r="I85" s="78">
        <f>847456</f>
        <v>847456</v>
      </c>
      <c r="J85" s="78">
        <v>0</v>
      </c>
      <c r="K85" s="78">
        <v>0</v>
      </c>
      <c r="L85" s="422">
        <v>0</v>
      </c>
    </row>
    <row r="86" spans="1:12" ht="30">
      <c r="A86" s="421"/>
      <c r="B86" s="160">
        <v>85205</v>
      </c>
      <c r="C86" s="72" t="s">
        <v>275</v>
      </c>
      <c r="D86" s="78">
        <f t="shared" si="12"/>
        <v>7500</v>
      </c>
      <c r="E86" s="74">
        <f t="shared" si="23"/>
        <v>7500</v>
      </c>
      <c r="F86" s="78">
        <v>0</v>
      </c>
      <c r="G86" s="78">
        <v>7500</v>
      </c>
      <c r="H86" s="78">
        <v>0</v>
      </c>
      <c r="I86" s="78">
        <v>0</v>
      </c>
      <c r="J86" s="78">
        <v>0</v>
      </c>
      <c r="K86" s="78">
        <v>0</v>
      </c>
      <c r="L86" s="422">
        <v>0</v>
      </c>
    </row>
    <row r="87" spans="1:12" ht="15">
      <c r="A87" s="421"/>
      <c r="B87" s="160">
        <v>85218</v>
      </c>
      <c r="C87" s="161" t="s">
        <v>168</v>
      </c>
      <c r="D87" s="78">
        <f t="shared" si="12"/>
        <v>312315</v>
      </c>
      <c r="E87" s="74">
        <f t="shared" si="23"/>
        <v>312315</v>
      </c>
      <c r="F87" s="78">
        <f>243551+44764-10000</f>
        <v>278315</v>
      </c>
      <c r="G87" s="78">
        <f>34000</f>
        <v>34000</v>
      </c>
      <c r="H87" s="78">
        <v>0</v>
      </c>
      <c r="I87" s="78">
        <v>0</v>
      </c>
      <c r="J87" s="78">
        <v>0</v>
      </c>
      <c r="K87" s="78">
        <v>0</v>
      </c>
      <c r="L87" s="422">
        <f>10000-10000</f>
        <v>0</v>
      </c>
    </row>
    <row r="88" spans="1:12" ht="45.75" thickBot="1">
      <c r="A88" s="421"/>
      <c r="B88" s="160">
        <v>85220</v>
      </c>
      <c r="C88" s="161" t="s">
        <v>271</v>
      </c>
      <c r="D88" s="78">
        <f>SUM(E88+L88)</f>
        <v>42000</v>
      </c>
      <c r="E88" s="74">
        <f t="shared" si="23"/>
        <v>42000</v>
      </c>
      <c r="F88" s="78">
        <f aca="true" t="shared" si="25" ref="F88:L88">SUM(F89:F90)</f>
        <v>23000</v>
      </c>
      <c r="G88" s="78">
        <f t="shared" si="25"/>
        <v>19000</v>
      </c>
      <c r="H88" s="78">
        <f t="shared" si="25"/>
        <v>0</v>
      </c>
      <c r="I88" s="78">
        <f>SUM(I89:I90)</f>
        <v>0</v>
      </c>
      <c r="J88" s="78">
        <f t="shared" si="25"/>
        <v>0</v>
      </c>
      <c r="K88" s="78">
        <f t="shared" si="25"/>
        <v>0</v>
      </c>
      <c r="L88" s="422">
        <f t="shared" si="25"/>
        <v>0</v>
      </c>
    </row>
    <row r="89" spans="1:12" ht="15.75" hidden="1" thickBot="1">
      <c r="A89" s="423"/>
      <c r="B89" s="162"/>
      <c r="C89" s="163" t="s">
        <v>161</v>
      </c>
      <c r="D89" s="164">
        <f>SUM(E89)</f>
        <v>12000</v>
      </c>
      <c r="E89" s="74">
        <f t="shared" si="23"/>
        <v>12000</v>
      </c>
      <c r="F89" s="78">
        <f>20400+3700-24100</f>
        <v>0</v>
      </c>
      <c r="G89" s="78">
        <f>311700-299700</f>
        <v>12000</v>
      </c>
      <c r="H89" s="78">
        <v>0</v>
      </c>
      <c r="I89" s="78">
        <v>0</v>
      </c>
      <c r="J89" s="78">
        <v>0</v>
      </c>
      <c r="K89" s="78">
        <v>0</v>
      </c>
      <c r="L89" s="422">
        <v>0</v>
      </c>
    </row>
    <row r="90" spans="1:12" ht="15.75" hidden="1" thickBot="1">
      <c r="A90" s="423"/>
      <c r="B90" s="162"/>
      <c r="C90" s="163" t="s">
        <v>165</v>
      </c>
      <c r="D90" s="164">
        <f aca="true" t="shared" si="26" ref="D90:D112">E90+L90</f>
        <v>30000</v>
      </c>
      <c r="E90" s="74">
        <f t="shared" si="23"/>
        <v>30000</v>
      </c>
      <c r="F90" s="78">
        <f>4000+19000</f>
        <v>23000</v>
      </c>
      <c r="G90" s="78">
        <f>7000</f>
        <v>7000</v>
      </c>
      <c r="H90" s="78">
        <v>0</v>
      </c>
      <c r="I90" s="78">
        <v>0</v>
      </c>
      <c r="J90" s="78">
        <v>0</v>
      </c>
      <c r="K90" s="78">
        <v>0</v>
      </c>
      <c r="L90" s="422">
        <v>0</v>
      </c>
    </row>
    <row r="91" spans="1:12" ht="34.5" thickBot="1" thickTop="1">
      <c r="A91" s="410">
        <v>853</v>
      </c>
      <c r="B91" s="150"/>
      <c r="C91" s="154" t="s">
        <v>18</v>
      </c>
      <c r="D91" s="68">
        <f>E91+L91</f>
        <v>3870887</v>
      </c>
      <c r="E91" s="69">
        <f>F91+G91+H91+K91+J91+I91</f>
        <v>3870887</v>
      </c>
      <c r="F91" s="68">
        <f aca="true" t="shared" si="27" ref="F91:K91">F93+F94+F92+F95</f>
        <v>1464912</v>
      </c>
      <c r="G91" s="68">
        <f t="shared" si="27"/>
        <v>119533</v>
      </c>
      <c r="H91" s="68">
        <f t="shared" si="27"/>
        <v>57540</v>
      </c>
      <c r="I91" s="68">
        <f t="shared" si="27"/>
        <v>0</v>
      </c>
      <c r="J91" s="68">
        <f t="shared" si="27"/>
        <v>2228902</v>
      </c>
      <c r="K91" s="68">
        <f t="shared" si="27"/>
        <v>0</v>
      </c>
      <c r="L91" s="411">
        <f>L93+L94</f>
        <v>0</v>
      </c>
    </row>
    <row r="92" spans="1:12" ht="30.75" thickTop="1">
      <c r="A92" s="430"/>
      <c r="B92" s="170">
        <v>85311</v>
      </c>
      <c r="C92" s="171" t="s">
        <v>169</v>
      </c>
      <c r="D92" s="109">
        <f t="shared" si="26"/>
        <v>57540</v>
      </c>
      <c r="E92" s="110">
        <f>SUM(F92:K92)</f>
        <v>57540</v>
      </c>
      <c r="F92" s="109">
        <v>0</v>
      </c>
      <c r="G92" s="109">
        <v>0</v>
      </c>
      <c r="H92" s="109">
        <v>57540</v>
      </c>
      <c r="I92" s="109">
        <v>0</v>
      </c>
      <c r="J92" s="109">
        <v>0</v>
      </c>
      <c r="K92" s="109">
        <v>0</v>
      </c>
      <c r="L92" s="428">
        <v>0</v>
      </c>
    </row>
    <row r="93" spans="1:12" ht="30">
      <c r="A93" s="412"/>
      <c r="B93" s="152">
        <v>85321</v>
      </c>
      <c r="C93" s="153" t="s">
        <v>102</v>
      </c>
      <c r="D93" s="366">
        <f t="shared" si="26"/>
        <v>101165</v>
      </c>
      <c r="E93" s="93">
        <f aca="true" t="shared" si="28" ref="E93:E99">SUM(F93:K93)</f>
        <v>101165</v>
      </c>
      <c r="F93" s="366">
        <f>94682+9150-13000</f>
        <v>90832</v>
      </c>
      <c r="G93" s="366">
        <f>13333-3000</f>
        <v>10333</v>
      </c>
      <c r="H93" s="366">
        <v>0</v>
      </c>
      <c r="I93" s="366">
        <v>0</v>
      </c>
      <c r="J93" s="366">
        <v>0</v>
      </c>
      <c r="K93" s="366">
        <v>0</v>
      </c>
      <c r="L93" s="431">
        <v>0</v>
      </c>
    </row>
    <row r="94" spans="1:12" ht="15">
      <c r="A94" s="432"/>
      <c r="B94" s="165">
        <v>85333</v>
      </c>
      <c r="C94" s="166" t="s">
        <v>170</v>
      </c>
      <c r="D94" s="88">
        <f t="shared" si="26"/>
        <v>1483280</v>
      </c>
      <c r="E94" s="93">
        <f t="shared" si="28"/>
        <v>1483280</v>
      </c>
      <c r="F94" s="88">
        <f>1161080+213000</f>
        <v>1374080</v>
      </c>
      <c r="G94" s="88">
        <f>116200-7000</f>
        <v>109200</v>
      </c>
      <c r="H94" s="88">
        <v>0</v>
      </c>
      <c r="I94" s="88">
        <v>0</v>
      </c>
      <c r="J94" s="88">
        <v>0</v>
      </c>
      <c r="K94" s="88">
        <v>0</v>
      </c>
      <c r="L94" s="425">
        <v>0</v>
      </c>
    </row>
    <row r="95" spans="1:12" ht="15" customHeight="1" thickBot="1">
      <c r="A95" s="432"/>
      <c r="B95" s="165">
        <v>85395</v>
      </c>
      <c r="C95" s="166" t="s">
        <v>140</v>
      </c>
      <c r="D95" s="88">
        <f aca="true" t="shared" si="29" ref="D95:K95">SUM(D96:D99)</f>
        <v>2228902</v>
      </c>
      <c r="E95" s="93">
        <f t="shared" si="28"/>
        <v>2228902</v>
      </c>
      <c r="F95" s="78">
        <f t="shared" si="29"/>
        <v>0</v>
      </c>
      <c r="G95" s="78">
        <f t="shared" si="29"/>
        <v>0</v>
      </c>
      <c r="H95" s="78">
        <f t="shared" si="29"/>
        <v>0</v>
      </c>
      <c r="I95" s="78">
        <f>SUM(I96:I99)</f>
        <v>0</v>
      </c>
      <c r="J95" s="78">
        <f t="shared" si="29"/>
        <v>2228902</v>
      </c>
      <c r="K95" s="78">
        <f t="shared" si="29"/>
        <v>0</v>
      </c>
      <c r="L95" s="422">
        <f>SUM(L99:L99)</f>
        <v>0</v>
      </c>
    </row>
    <row r="96" spans="1:12" ht="15.75" hidden="1" thickBot="1">
      <c r="A96" s="433"/>
      <c r="B96" s="162"/>
      <c r="C96" s="406" t="s">
        <v>308</v>
      </c>
      <c r="D96" s="169">
        <f>E96+L96</f>
        <v>760650</v>
      </c>
      <c r="E96" s="93">
        <f t="shared" si="28"/>
        <v>760650</v>
      </c>
      <c r="F96" s="78">
        <v>0</v>
      </c>
      <c r="G96" s="78">
        <v>0</v>
      </c>
      <c r="H96" s="78">
        <v>0</v>
      </c>
      <c r="I96" s="78">
        <v>0</v>
      </c>
      <c r="J96" s="78">
        <v>760650</v>
      </c>
      <c r="K96" s="78">
        <v>0</v>
      </c>
      <c r="L96" s="422">
        <v>0</v>
      </c>
    </row>
    <row r="97" spans="1:12" ht="15.75" hidden="1" thickBot="1">
      <c r="A97" s="433"/>
      <c r="B97" s="162"/>
      <c r="C97" s="406" t="s">
        <v>309</v>
      </c>
      <c r="D97" s="169">
        <f>E97+L97</f>
        <v>878009</v>
      </c>
      <c r="E97" s="93">
        <f t="shared" si="28"/>
        <v>878009</v>
      </c>
      <c r="F97" s="78">
        <v>0</v>
      </c>
      <c r="G97" s="78">
        <v>0</v>
      </c>
      <c r="H97" s="78">
        <v>0</v>
      </c>
      <c r="I97" s="78">
        <v>0</v>
      </c>
      <c r="J97" s="78">
        <v>878009</v>
      </c>
      <c r="K97" s="78">
        <v>0</v>
      </c>
      <c r="L97" s="422">
        <v>0</v>
      </c>
    </row>
    <row r="98" spans="1:12" ht="30.75" hidden="1" thickBot="1">
      <c r="A98" s="433"/>
      <c r="B98" s="162"/>
      <c r="C98" s="406" t="s">
        <v>310</v>
      </c>
      <c r="D98" s="169">
        <f>E98+L98</f>
        <v>460324</v>
      </c>
      <c r="E98" s="93">
        <f t="shared" si="28"/>
        <v>460324</v>
      </c>
      <c r="F98" s="78">
        <v>0</v>
      </c>
      <c r="G98" s="78">
        <v>0</v>
      </c>
      <c r="H98" s="78">
        <v>0</v>
      </c>
      <c r="I98" s="78">
        <v>0</v>
      </c>
      <c r="J98" s="78">
        <v>460324</v>
      </c>
      <c r="K98" s="78">
        <v>0</v>
      </c>
      <c r="L98" s="422">
        <v>0</v>
      </c>
    </row>
    <row r="99" spans="1:12" ht="15.75" hidden="1" thickBot="1">
      <c r="A99" s="433"/>
      <c r="B99" s="162"/>
      <c r="C99" s="163" t="s">
        <v>305</v>
      </c>
      <c r="D99" s="169">
        <f t="shared" si="26"/>
        <v>129919</v>
      </c>
      <c r="E99" s="93">
        <f t="shared" si="28"/>
        <v>129919</v>
      </c>
      <c r="F99" s="94">
        <v>0</v>
      </c>
      <c r="G99" s="94">
        <v>0</v>
      </c>
      <c r="H99" s="94">
        <v>0</v>
      </c>
      <c r="I99" s="94">
        <v>0</v>
      </c>
      <c r="J99" s="94">
        <v>129919</v>
      </c>
      <c r="K99" s="94">
        <v>0</v>
      </c>
      <c r="L99" s="420">
        <v>0</v>
      </c>
    </row>
    <row r="100" spans="1:12" ht="18" thickBot="1" thickTop="1">
      <c r="A100" s="410">
        <v>854</v>
      </c>
      <c r="B100" s="150"/>
      <c r="C100" s="154" t="s">
        <v>14</v>
      </c>
      <c r="D100" s="68">
        <f t="shared" si="26"/>
        <v>2807338</v>
      </c>
      <c r="E100" s="69">
        <f>F100+G100+H100+K100+I100</f>
        <v>2807338</v>
      </c>
      <c r="F100" s="68">
        <f aca="true" t="shared" si="30" ref="F100:L100">F101+F102+F103+F104</f>
        <v>2170029</v>
      </c>
      <c r="G100" s="68">
        <f t="shared" si="30"/>
        <v>633309</v>
      </c>
      <c r="H100" s="68">
        <f t="shared" si="30"/>
        <v>0</v>
      </c>
      <c r="I100" s="68">
        <f>I101+I102+I103+I104</f>
        <v>4000</v>
      </c>
      <c r="J100" s="68">
        <f t="shared" si="30"/>
        <v>0</v>
      </c>
      <c r="K100" s="68">
        <f t="shared" si="30"/>
        <v>0</v>
      </c>
      <c r="L100" s="411">
        <f t="shared" si="30"/>
        <v>0</v>
      </c>
    </row>
    <row r="101" spans="1:12" ht="15.75" thickTop="1">
      <c r="A101" s="412"/>
      <c r="B101" s="152">
        <v>85403</v>
      </c>
      <c r="C101" s="153" t="s">
        <v>171</v>
      </c>
      <c r="D101" s="73">
        <f t="shared" si="26"/>
        <v>1571103</v>
      </c>
      <c r="E101" s="74">
        <f>SUM(F101:K101)</f>
        <v>1571103</v>
      </c>
      <c r="F101" s="73">
        <f>1216483</f>
        <v>1216483</v>
      </c>
      <c r="G101" s="73">
        <f>354620-3500</f>
        <v>351120</v>
      </c>
      <c r="H101" s="73">
        <v>0</v>
      </c>
      <c r="I101" s="73">
        <f>3500</f>
        <v>3500</v>
      </c>
      <c r="J101" s="73">
        <v>0</v>
      </c>
      <c r="K101" s="73">
        <v>0</v>
      </c>
      <c r="L101" s="413">
        <f>0</f>
        <v>0</v>
      </c>
    </row>
    <row r="102" spans="1:12" ht="30">
      <c r="A102" s="421"/>
      <c r="B102" s="160">
        <v>85406</v>
      </c>
      <c r="C102" s="161" t="s">
        <v>172</v>
      </c>
      <c r="D102" s="78">
        <f t="shared" si="26"/>
        <v>564789</v>
      </c>
      <c r="E102" s="74">
        <f>SUM(F102:K102)</f>
        <v>564789</v>
      </c>
      <c r="F102" s="78">
        <f>506944</f>
        <v>506944</v>
      </c>
      <c r="G102" s="78">
        <f>57845-500</f>
        <v>57345</v>
      </c>
      <c r="H102" s="78">
        <v>0</v>
      </c>
      <c r="I102" s="78">
        <f>500</f>
        <v>500</v>
      </c>
      <c r="J102" s="78">
        <v>0</v>
      </c>
      <c r="K102" s="78">
        <v>0</v>
      </c>
      <c r="L102" s="422">
        <v>0</v>
      </c>
    </row>
    <row r="103" spans="1:12" ht="15">
      <c r="A103" s="421"/>
      <c r="B103" s="160">
        <v>85407</v>
      </c>
      <c r="C103" s="161" t="s">
        <v>173</v>
      </c>
      <c r="D103" s="78">
        <f t="shared" si="26"/>
        <v>279240</v>
      </c>
      <c r="E103" s="74">
        <f>SUM(F103:K103)</f>
        <v>279240</v>
      </c>
      <c r="F103" s="78">
        <f>207970+14580</f>
        <v>222550</v>
      </c>
      <c r="G103" s="78">
        <f>56690</f>
        <v>56690</v>
      </c>
      <c r="H103" s="78">
        <v>0</v>
      </c>
      <c r="I103" s="78">
        <v>0</v>
      </c>
      <c r="J103" s="78">
        <v>0</v>
      </c>
      <c r="K103" s="78">
        <v>0</v>
      </c>
      <c r="L103" s="422">
        <v>0</v>
      </c>
    </row>
    <row r="104" spans="1:12" ht="15.75" thickBot="1">
      <c r="A104" s="421"/>
      <c r="B104" s="160">
        <v>85410</v>
      </c>
      <c r="C104" s="161" t="s">
        <v>108</v>
      </c>
      <c r="D104" s="78">
        <f t="shared" si="26"/>
        <v>392206</v>
      </c>
      <c r="E104" s="74">
        <f>SUM(F104:K104)</f>
        <v>392206</v>
      </c>
      <c r="F104" s="78">
        <f>189299+34753</f>
        <v>224052</v>
      </c>
      <c r="G104" s="78">
        <f>168154</f>
        <v>168154</v>
      </c>
      <c r="H104" s="78">
        <v>0</v>
      </c>
      <c r="I104" s="78">
        <v>0</v>
      </c>
      <c r="J104" s="78">
        <v>0</v>
      </c>
      <c r="K104" s="78">
        <v>0</v>
      </c>
      <c r="L104" s="422">
        <f>0</f>
        <v>0</v>
      </c>
    </row>
    <row r="105" spans="1:12" ht="34.5" thickBot="1" thickTop="1">
      <c r="A105" s="434">
        <v>900</v>
      </c>
      <c r="B105" s="177"/>
      <c r="C105" s="178" t="s">
        <v>300</v>
      </c>
      <c r="D105" s="68">
        <f>E105+L105</f>
        <v>79500</v>
      </c>
      <c r="E105" s="69">
        <f>F105+G105+H105+K105+I105</f>
        <v>39500</v>
      </c>
      <c r="F105" s="68">
        <f>F106+F107</f>
        <v>0</v>
      </c>
      <c r="G105" s="68">
        <f aca="true" t="shared" si="31" ref="G105:L105">SUM(G106)</f>
        <v>39500</v>
      </c>
      <c r="H105" s="68">
        <f t="shared" si="31"/>
        <v>0</v>
      </c>
      <c r="I105" s="68">
        <f t="shared" si="31"/>
        <v>0</v>
      </c>
      <c r="J105" s="68">
        <f t="shared" si="31"/>
        <v>0</v>
      </c>
      <c r="K105" s="68">
        <f t="shared" si="31"/>
        <v>0</v>
      </c>
      <c r="L105" s="411">
        <f t="shared" si="31"/>
        <v>40000</v>
      </c>
    </row>
    <row r="106" spans="1:12" ht="16.5" thickBot="1" thickTop="1">
      <c r="A106" s="412"/>
      <c r="B106" s="152">
        <v>90095</v>
      </c>
      <c r="C106" s="153" t="s">
        <v>140</v>
      </c>
      <c r="D106" s="73">
        <f t="shared" si="26"/>
        <v>79500</v>
      </c>
      <c r="E106" s="74">
        <f>SUM(F106:K106)</f>
        <v>39500</v>
      </c>
      <c r="F106" s="73">
        <v>0</v>
      </c>
      <c r="G106" s="73">
        <f>69000-29500</f>
        <v>39500</v>
      </c>
      <c r="H106" s="73"/>
      <c r="I106" s="73"/>
      <c r="J106" s="73">
        <v>0</v>
      </c>
      <c r="K106" s="73">
        <v>0</v>
      </c>
      <c r="L106" s="413">
        <f>50000-10000</f>
        <v>40000</v>
      </c>
    </row>
    <row r="107" spans="1:12" ht="34.5" thickBot="1" thickTop="1">
      <c r="A107" s="434">
        <v>921</v>
      </c>
      <c r="B107" s="177"/>
      <c r="C107" s="178" t="s">
        <v>25</v>
      </c>
      <c r="D107" s="68">
        <f>E107+L107</f>
        <v>65000</v>
      </c>
      <c r="E107" s="69">
        <f>F107+G107+H107+K107+I107</f>
        <v>45000</v>
      </c>
      <c r="F107" s="68">
        <f aca="true" t="shared" si="32" ref="F107:K107">F108+F110</f>
        <v>0</v>
      </c>
      <c r="G107" s="68">
        <f t="shared" si="32"/>
        <v>20000</v>
      </c>
      <c r="H107" s="68">
        <f t="shared" si="32"/>
        <v>25000</v>
      </c>
      <c r="I107" s="68">
        <f t="shared" si="32"/>
        <v>0</v>
      </c>
      <c r="J107" s="68">
        <f t="shared" si="32"/>
        <v>0</v>
      </c>
      <c r="K107" s="68">
        <f t="shared" si="32"/>
        <v>0</v>
      </c>
      <c r="L107" s="411">
        <f>SUM(L108:L110)</f>
        <v>20000</v>
      </c>
    </row>
    <row r="108" spans="1:12" ht="15.75" thickTop="1">
      <c r="A108" s="412"/>
      <c r="B108" s="152">
        <v>92116</v>
      </c>
      <c r="C108" s="153" t="s">
        <v>174</v>
      </c>
      <c r="D108" s="73">
        <f t="shared" si="26"/>
        <v>25000</v>
      </c>
      <c r="E108" s="74">
        <f>SUM(F108:K108)</f>
        <v>25000</v>
      </c>
      <c r="F108" s="73">
        <v>0</v>
      </c>
      <c r="G108" s="73">
        <v>0</v>
      </c>
      <c r="H108" s="73">
        <v>25000</v>
      </c>
      <c r="I108" s="73">
        <v>0</v>
      </c>
      <c r="J108" s="73">
        <v>0</v>
      </c>
      <c r="K108" s="73">
        <v>0</v>
      </c>
      <c r="L108" s="413">
        <v>0</v>
      </c>
    </row>
    <row r="109" spans="1:12" ht="15">
      <c r="A109" s="419"/>
      <c r="B109" s="157">
        <v>92120</v>
      </c>
      <c r="C109" s="158" t="s">
        <v>314</v>
      </c>
      <c r="D109" s="94">
        <f>SUM(L109+E109)</f>
        <v>20000</v>
      </c>
      <c r="E109" s="74">
        <f>SUM(F109:K109)</f>
        <v>0</v>
      </c>
      <c r="F109" s="94"/>
      <c r="G109" s="94"/>
      <c r="H109" s="94"/>
      <c r="I109" s="94"/>
      <c r="J109" s="94"/>
      <c r="K109" s="94"/>
      <c r="L109" s="420">
        <f>48062-28062</f>
        <v>20000</v>
      </c>
    </row>
    <row r="110" spans="1:12" ht="15.75" thickBot="1">
      <c r="A110" s="424"/>
      <c r="B110" s="165">
        <v>92195</v>
      </c>
      <c r="C110" s="166" t="s">
        <v>140</v>
      </c>
      <c r="D110" s="88">
        <f t="shared" si="26"/>
        <v>20000</v>
      </c>
      <c r="E110" s="103">
        <f>SUM(F110:K110)</f>
        <v>20000</v>
      </c>
      <c r="F110" s="88">
        <v>0</v>
      </c>
      <c r="G110" s="88">
        <v>20000</v>
      </c>
      <c r="H110" s="88">
        <v>0</v>
      </c>
      <c r="I110" s="88">
        <v>0</v>
      </c>
      <c r="J110" s="88">
        <v>0</v>
      </c>
      <c r="K110" s="88">
        <v>0</v>
      </c>
      <c r="L110" s="425">
        <v>0</v>
      </c>
    </row>
    <row r="111" spans="1:12" ht="18" thickBot="1" thickTop="1">
      <c r="A111" s="410">
        <v>926</v>
      </c>
      <c r="B111" s="150"/>
      <c r="C111" s="154" t="s">
        <v>313</v>
      </c>
      <c r="D111" s="68">
        <f t="shared" si="26"/>
        <v>95000</v>
      </c>
      <c r="E111" s="69">
        <f>F111+G111+H111+K111+I111</f>
        <v>95000</v>
      </c>
      <c r="F111" s="68">
        <f aca="true" t="shared" si="33" ref="F111:K111">F112</f>
        <v>0</v>
      </c>
      <c r="G111" s="68">
        <f t="shared" si="33"/>
        <v>95000</v>
      </c>
      <c r="H111" s="68">
        <f t="shared" si="33"/>
        <v>0</v>
      </c>
      <c r="I111" s="68">
        <f t="shared" si="33"/>
        <v>0</v>
      </c>
      <c r="J111" s="68">
        <f t="shared" si="33"/>
        <v>0</v>
      </c>
      <c r="K111" s="68">
        <f t="shared" si="33"/>
        <v>0</v>
      </c>
      <c r="L111" s="411">
        <f>L857</f>
        <v>0</v>
      </c>
    </row>
    <row r="112" spans="1:12" ht="16.5" thickBot="1" thickTop="1">
      <c r="A112" s="412"/>
      <c r="B112" s="152">
        <v>92695</v>
      </c>
      <c r="C112" s="153" t="s">
        <v>140</v>
      </c>
      <c r="D112" s="73">
        <f t="shared" si="26"/>
        <v>95000</v>
      </c>
      <c r="E112" s="74">
        <f>SUM(F112:K112)</f>
        <v>95000</v>
      </c>
      <c r="F112" s="73">
        <v>0</v>
      </c>
      <c r="G112" s="73">
        <f>115000-20000</f>
        <v>95000</v>
      </c>
      <c r="H112" s="73">
        <v>0</v>
      </c>
      <c r="I112" s="73">
        <v>0</v>
      </c>
      <c r="J112" s="73">
        <v>0</v>
      </c>
      <c r="K112" s="73">
        <v>0</v>
      </c>
      <c r="L112" s="413">
        <v>0</v>
      </c>
    </row>
    <row r="113" spans="1:12" ht="17.25" thickBot="1">
      <c r="A113" s="504" t="s">
        <v>175</v>
      </c>
      <c r="B113" s="504"/>
      <c r="C113" s="504"/>
      <c r="D113" s="179">
        <f aca="true" t="shared" si="34" ref="D113:L113">D100+D91+D78+D71+D50+D45+D43+D40+D31+D25+D23+D19+D17+D14+D21+D107+D111+D105</f>
        <v>38824809</v>
      </c>
      <c r="E113" s="180">
        <f t="shared" si="34"/>
        <v>37804809</v>
      </c>
      <c r="F113" s="179">
        <f t="shared" si="34"/>
        <v>21357582</v>
      </c>
      <c r="G113" s="179">
        <f t="shared" si="34"/>
        <v>9364164</v>
      </c>
      <c r="H113" s="179">
        <f t="shared" si="34"/>
        <v>2635904</v>
      </c>
      <c r="I113" s="179">
        <f>I100+I91+I78+I71+I50+I45+I43+I40+I31+I25+I23+I19+I17+I14+I21+I107+I111+I105</f>
        <v>1368257</v>
      </c>
      <c r="J113" s="179">
        <f t="shared" si="34"/>
        <v>2228902</v>
      </c>
      <c r="K113" s="179">
        <f t="shared" si="34"/>
        <v>850000</v>
      </c>
      <c r="L113" s="180">
        <f t="shared" si="34"/>
        <v>1020000</v>
      </c>
    </row>
    <row r="115" spans="4:5" ht="12.75">
      <c r="D115" s="342"/>
      <c r="E115" s="342"/>
    </row>
    <row r="116" ht="12.75">
      <c r="D116" s="28"/>
    </row>
  </sheetData>
  <sheetProtection/>
  <mergeCells count="17">
    <mergeCell ref="D9:D12"/>
    <mergeCell ref="E9:L9"/>
    <mergeCell ref="E10:K10"/>
    <mergeCell ref="L10:L12"/>
    <mergeCell ref="E11:E12"/>
    <mergeCell ref="J11:J12"/>
    <mergeCell ref="K11:K12"/>
    <mergeCell ref="A113:C113"/>
    <mergeCell ref="A5:L5"/>
    <mergeCell ref="A6:L6"/>
    <mergeCell ref="A7:L7"/>
    <mergeCell ref="A9:A12"/>
    <mergeCell ref="B9:B12"/>
    <mergeCell ref="C9:C12"/>
    <mergeCell ref="F11:G11"/>
    <mergeCell ref="H11:H12"/>
    <mergeCell ref="I11:I12"/>
  </mergeCells>
  <printOptions horizontalCentered="1"/>
  <pageMargins left="0.31496062992125984" right="0.31496062992125984" top="0.7874015748031497" bottom="0.7874015748031497" header="1.4566929133858268" footer="0.5118110236220472"/>
  <pageSetup horizontalDpi="600" verticalDpi="600" orientation="landscape" paperSize="9" scale="70" r:id="rId3"/>
  <rowBreaks count="2" manualBreakCount="2">
    <brk id="35" max="10" man="1"/>
    <brk id="82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82">
      <selection activeCell="D97" sqref="D97:E97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45.75390625" style="0" bestFit="1" customWidth="1"/>
    <col min="4" max="4" width="12.125" style="0" customWidth="1"/>
    <col min="5" max="5" width="13.00390625" style="0" bestFit="1" customWidth="1"/>
    <col min="6" max="6" width="13.00390625" style="0" customWidth="1"/>
    <col min="7" max="7" width="12.00390625" style="0" bestFit="1" customWidth="1"/>
    <col min="8" max="8" width="11.875" style="0" bestFit="1" customWidth="1"/>
    <col min="9" max="9" width="11.875" style="0" customWidth="1"/>
    <col min="10" max="10" width="12.875" style="0" customWidth="1"/>
    <col min="11" max="11" width="11.125" style="0" customWidth="1"/>
    <col min="12" max="12" width="11.375" style="0" customWidth="1"/>
    <col min="13" max="13" width="9.125" style="15" customWidth="1"/>
  </cols>
  <sheetData>
    <row r="1" spans="1:12" ht="15">
      <c r="A1" s="111"/>
      <c r="B1" s="111"/>
      <c r="C1" s="111"/>
      <c r="D1" s="111"/>
      <c r="E1" s="111"/>
      <c r="F1" s="58"/>
      <c r="G1" s="58"/>
      <c r="H1" s="58"/>
      <c r="I1" s="58"/>
      <c r="J1" s="58"/>
      <c r="K1" s="111" t="s">
        <v>176</v>
      </c>
      <c r="L1" s="111"/>
    </row>
    <row r="2" spans="1:12" ht="15">
      <c r="A2" s="111"/>
      <c r="B2" s="111"/>
      <c r="C2" s="111"/>
      <c r="D2" s="111"/>
      <c r="E2" s="111"/>
      <c r="F2" s="58"/>
      <c r="G2" s="58"/>
      <c r="H2" s="58"/>
      <c r="I2" s="58"/>
      <c r="J2" s="58"/>
      <c r="K2" s="29" t="s">
        <v>323</v>
      </c>
      <c r="L2" s="111"/>
    </row>
    <row r="3" spans="1:12" ht="15">
      <c r="A3" s="111"/>
      <c r="B3" s="111"/>
      <c r="C3" s="111"/>
      <c r="D3" s="111"/>
      <c r="E3" s="111"/>
      <c r="F3" s="58"/>
      <c r="G3" s="58"/>
      <c r="H3" s="58"/>
      <c r="I3" s="58"/>
      <c r="J3" s="58"/>
      <c r="K3" s="29" t="s">
        <v>21</v>
      </c>
      <c r="L3" s="111"/>
    </row>
    <row r="4" spans="1:12" ht="15">
      <c r="A4" s="111"/>
      <c r="B4" s="111"/>
      <c r="C4" s="111"/>
      <c r="D4" s="111"/>
      <c r="E4" s="111"/>
      <c r="F4" s="58"/>
      <c r="G4" s="58"/>
      <c r="H4" s="58"/>
      <c r="I4" s="58"/>
      <c r="J4" s="58"/>
      <c r="K4" s="30" t="s">
        <v>324</v>
      </c>
      <c r="L4" s="111"/>
    </row>
    <row r="5" spans="1:12" ht="15">
      <c r="A5" s="111"/>
      <c r="B5" s="111"/>
      <c r="C5" s="111"/>
      <c r="D5" s="111"/>
      <c r="E5" s="111"/>
      <c r="F5" s="58"/>
      <c r="G5" s="58"/>
      <c r="H5" s="58"/>
      <c r="I5" s="58"/>
      <c r="J5" s="58"/>
      <c r="K5" s="111"/>
      <c r="L5" s="111"/>
    </row>
    <row r="6" spans="1:12" ht="15.75" customHeight="1">
      <c r="A6" s="527" t="s">
        <v>126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2" ht="15.75" customHeight="1">
      <c r="A7" s="527" t="s">
        <v>288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</row>
    <row r="8" spans="6:12" ht="15.75" customHeight="1" thickBot="1">
      <c r="F8" s="15"/>
      <c r="G8" s="15"/>
      <c r="H8" s="15"/>
      <c r="I8" s="15"/>
      <c r="J8" s="15"/>
      <c r="L8" s="181" t="s">
        <v>31</v>
      </c>
    </row>
    <row r="9" spans="1:12" ht="18" customHeight="1">
      <c r="A9" s="528" t="s">
        <v>0</v>
      </c>
      <c r="B9" s="531" t="s">
        <v>127</v>
      </c>
      <c r="C9" s="534" t="s">
        <v>35</v>
      </c>
      <c r="D9" s="534" t="s">
        <v>128</v>
      </c>
      <c r="E9" s="541" t="s">
        <v>177</v>
      </c>
      <c r="F9" s="542"/>
      <c r="G9" s="542"/>
      <c r="H9" s="542"/>
      <c r="I9" s="542"/>
      <c r="J9" s="542"/>
      <c r="K9" s="542"/>
      <c r="L9" s="543"/>
    </row>
    <row r="10" spans="1:12" ht="16.5" customHeight="1">
      <c r="A10" s="529"/>
      <c r="B10" s="532"/>
      <c r="C10" s="535"/>
      <c r="D10" s="535"/>
      <c r="E10" s="544" t="s">
        <v>320</v>
      </c>
      <c r="F10" s="545"/>
      <c r="G10" s="545"/>
      <c r="H10" s="545"/>
      <c r="I10" s="545"/>
      <c r="J10" s="545"/>
      <c r="K10" s="546"/>
      <c r="L10" s="547" t="s">
        <v>178</v>
      </c>
    </row>
    <row r="11" spans="1:12" ht="14.25">
      <c r="A11" s="529"/>
      <c r="B11" s="532"/>
      <c r="C11" s="535"/>
      <c r="D11" s="535"/>
      <c r="E11" s="550" t="s">
        <v>15</v>
      </c>
      <c r="F11" s="537" t="s">
        <v>318</v>
      </c>
      <c r="G11" s="538"/>
      <c r="H11" s="539" t="s">
        <v>131</v>
      </c>
      <c r="I11" s="515" t="s">
        <v>317</v>
      </c>
      <c r="J11" s="554" t="s">
        <v>307</v>
      </c>
      <c r="K11" s="555" t="s">
        <v>132</v>
      </c>
      <c r="L11" s="548"/>
    </row>
    <row r="12" spans="1:12" ht="89.25" customHeight="1">
      <c r="A12" s="530"/>
      <c r="B12" s="533"/>
      <c r="C12" s="536"/>
      <c r="D12" s="536"/>
      <c r="E12" s="551"/>
      <c r="F12" s="146" t="s">
        <v>179</v>
      </c>
      <c r="G12" s="146" t="s">
        <v>319</v>
      </c>
      <c r="H12" s="540"/>
      <c r="I12" s="516"/>
      <c r="J12" s="540"/>
      <c r="K12" s="556"/>
      <c r="L12" s="549"/>
    </row>
    <row r="13" spans="1:12" ht="13.5" customHeight="1" thickBot="1">
      <c r="A13" s="435">
        <v>1</v>
      </c>
      <c r="B13" s="182">
        <v>2</v>
      </c>
      <c r="C13" s="182">
        <v>3</v>
      </c>
      <c r="D13" s="182">
        <v>4</v>
      </c>
      <c r="E13" s="183">
        <v>5</v>
      </c>
      <c r="F13" s="184">
        <v>6</v>
      </c>
      <c r="G13" s="184">
        <v>7</v>
      </c>
      <c r="H13" s="184">
        <v>8</v>
      </c>
      <c r="I13" s="184">
        <v>9</v>
      </c>
      <c r="J13" s="184">
        <v>10</v>
      </c>
      <c r="K13" s="182">
        <v>11</v>
      </c>
      <c r="L13" s="436">
        <v>12</v>
      </c>
    </row>
    <row r="14" spans="1:12" ht="18" thickBot="1" thickTop="1">
      <c r="A14" s="410" t="s">
        <v>43</v>
      </c>
      <c r="B14" s="151"/>
      <c r="C14" s="151" t="s">
        <v>5</v>
      </c>
      <c r="D14" s="68">
        <f>SUM(L14+E14)</f>
        <v>10000</v>
      </c>
      <c r="E14" s="69">
        <f aca="true" t="shared" si="0" ref="E14:E44">SUM(F14:K14)</f>
        <v>10000</v>
      </c>
      <c r="F14" s="68">
        <f aca="true" t="shared" si="1" ref="F14:K14">SUM(F15:F15)</f>
        <v>0</v>
      </c>
      <c r="G14" s="68">
        <f t="shared" si="1"/>
        <v>10000</v>
      </c>
      <c r="H14" s="68">
        <f t="shared" si="1"/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  <c r="L14" s="411">
        <f>SUM(L15)</f>
        <v>0</v>
      </c>
    </row>
    <row r="15" spans="1:12" ht="16.5" thickBot="1" thickTop="1">
      <c r="A15" s="412"/>
      <c r="B15" s="82" t="s">
        <v>273</v>
      </c>
      <c r="C15" s="153" t="s">
        <v>140</v>
      </c>
      <c r="D15" s="73">
        <f>E15</f>
        <v>10000</v>
      </c>
      <c r="E15" s="74">
        <f t="shared" si="0"/>
        <v>10000</v>
      </c>
      <c r="F15" s="73">
        <v>0</v>
      </c>
      <c r="G15" s="73">
        <f>10000</f>
        <v>10000</v>
      </c>
      <c r="H15" s="73">
        <v>0</v>
      </c>
      <c r="I15" s="73">
        <v>0</v>
      </c>
      <c r="J15" s="73">
        <v>0</v>
      </c>
      <c r="K15" s="73">
        <v>0</v>
      </c>
      <c r="L15" s="413">
        <v>0</v>
      </c>
    </row>
    <row r="16" spans="1:12" ht="18" thickBot="1" thickTop="1">
      <c r="A16" s="272" t="s">
        <v>135</v>
      </c>
      <c r="B16" s="186"/>
      <c r="C16" s="187" t="s">
        <v>6</v>
      </c>
      <c r="D16" s="188">
        <f aca="true" t="shared" si="2" ref="D16:D39">E16+L16</f>
        <v>20000</v>
      </c>
      <c r="E16" s="69">
        <f t="shared" si="0"/>
        <v>20000</v>
      </c>
      <c r="F16" s="68">
        <f aca="true" t="shared" si="3" ref="F16:K16">SUM(F17:F17)</f>
        <v>0</v>
      </c>
      <c r="G16" s="68">
        <f t="shared" si="3"/>
        <v>20000</v>
      </c>
      <c r="H16" s="68">
        <f t="shared" si="3"/>
        <v>0</v>
      </c>
      <c r="I16" s="68">
        <f t="shared" si="3"/>
        <v>0</v>
      </c>
      <c r="J16" s="68">
        <f t="shared" si="3"/>
        <v>0</v>
      </c>
      <c r="K16" s="68">
        <f t="shared" si="3"/>
        <v>0</v>
      </c>
      <c r="L16" s="411">
        <f>SUM(L17)</f>
        <v>0</v>
      </c>
    </row>
    <row r="17" spans="1:12" ht="18" thickBot="1" thickTop="1">
      <c r="A17" s="437"/>
      <c r="B17" s="60" t="s">
        <v>180</v>
      </c>
      <c r="C17" s="189" t="s">
        <v>137</v>
      </c>
      <c r="D17" s="190">
        <f t="shared" si="2"/>
        <v>20000</v>
      </c>
      <c r="E17" s="74">
        <f t="shared" si="0"/>
        <v>20000</v>
      </c>
      <c r="F17" s="73">
        <v>0</v>
      </c>
      <c r="G17" s="73">
        <f>20000</f>
        <v>20000</v>
      </c>
      <c r="H17" s="73">
        <v>0</v>
      </c>
      <c r="I17" s="73">
        <v>0</v>
      </c>
      <c r="J17" s="190">
        <v>0</v>
      </c>
      <c r="K17" s="190">
        <v>0</v>
      </c>
      <c r="L17" s="413">
        <v>0</v>
      </c>
    </row>
    <row r="18" spans="1:12" ht="18" thickBot="1" thickTop="1">
      <c r="A18" s="272">
        <v>600</v>
      </c>
      <c r="B18" s="185"/>
      <c r="C18" s="187" t="s">
        <v>7</v>
      </c>
      <c r="D18" s="188">
        <f t="shared" si="2"/>
        <v>2600000</v>
      </c>
      <c r="E18" s="69">
        <f t="shared" si="0"/>
        <v>1900000</v>
      </c>
      <c r="F18" s="68">
        <f aca="true" t="shared" si="4" ref="F18:L18">F19</f>
        <v>588080</v>
      </c>
      <c r="G18" s="68">
        <f t="shared" si="4"/>
        <v>1296920</v>
      </c>
      <c r="H18" s="68">
        <f t="shared" si="4"/>
        <v>0</v>
      </c>
      <c r="I18" s="68">
        <f>I19</f>
        <v>15000</v>
      </c>
      <c r="J18" s="68">
        <f t="shared" si="4"/>
        <v>0</v>
      </c>
      <c r="K18" s="68">
        <f t="shared" si="4"/>
        <v>0</v>
      </c>
      <c r="L18" s="411">
        <f t="shared" si="4"/>
        <v>700000</v>
      </c>
    </row>
    <row r="19" spans="1:12" ht="15.75" customHeight="1" thickBot="1" thickTop="1">
      <c r="A19" s="283"/>
      <c r="B19" s="59">
        <v>60014</v>
      </c>
      <c r="C19" s="191" t="s">
        <v>138</v>
      </c>
      <c r="D19" s="94">
        <f t="shared" si="2"/>
        <v>2600000</v>
      </c>
      <c r="E19" s="159">
        <f t="shared" si="0"/>
        <v>1900000</v>
      </c>
      <c r="F19" s="94">
        <f>492480+95600</f>
        <v>588080</v>
      </c>
      <c r="G19" s="94">
        <f>1403445-41525-50000-15000</f>
        <v>1296920</v>
      </c>
      <c r="H19" s="94">
        <v>0</v>
      </c>
      <c r="I19" s="94">
        <f>15000</f>
        <v>15000</v>
      </c>
      <c r="J19" s="94">
        <v>0</v>
      </c>
      <c r="K19" s="94">
        <v>0</v>
      </c>
      <c r="L19" s="420">
        <f>5634500-4984500+50000</f>
        <v>700000</v>
      </c>
    </row>
    <row r="20" spans="1:12" ht="18" thickBot="1" thickTop="1">
      <c r="A20" s="272">
        <v>630</v>
      </c>
      <c r="B20" s="185"/>
      <c r="C20" s="187" t="s">
        <v>139</v>
      </c>
      <c r="D20" s="188">
        <f t="shared" si="2"/>
        <v>20000</v>
      </c>
      <c r="E20" s="69">
        <f t="shared" si="0"/>
        <v>20000</v>
      </c>
      <c r="F20" s="68">
        <f aca="true" t="shared" si="5" ref="F20:L20">F21</f>
        <v>0</v>
      </c>
      <c r="G20" s="68">
        <f t="shared" si="5"/>
        <v>20000</v>
      </c>
      <c r="H20" s="68">
        <f t="shared" si="5"/>
        <v>0</v>
      </c>
      <c r="I20" s="68">
        <f t="shared" si="5"/>
        <v>0</v>
      </c>
      <c r="J20" s="188">
        <f t="shared" si="5"/>
        <v>0</v>
      </c>
      <c r="K20" s="188">
        <f t="shared" si="5"/>
        <v>0</v>
      </c>
      <c r="L20" s="411">
        <f t="shared" si="5"/>
        <v>0</v>
      </c>
    </row>
    <row r="21" spans="1:12" ht="16.5" thickBot="1" thickTop="1">
      <c r="A21" s="283"/>
      <c r="B21" s="59">
        <v>63095</v>
      </c>
      <c r="C21" s="191" t="s">
        <v>140</v>
      </c>
      <c r="D21" s="94">
        <f t="shared" si="2"/>
        <v>20000</v>
      </c>
      <c r="E21" s="159">
        <f t="shared" si="0"/>
        <v>20000</v>
      </c>
      <c r="F21" s="94">
        <v>0</v>
      </c>
      <c r="G21" s="94">
        <v>20000</v>
      </c>
      <c r="H21" s="94">
        <v>0</v>
      </c>
      <c r="I21" s="94">
        <v>0</v>
      </c>
      <c r="J21" s="94">
        <v>0</v>
      </c>
      <c r="K21" s="94">
        <v>0</v>
      </c>
      <c r="L21" s="420">
        <v>0</v>
      </c>
    </row>
    <row r="22" spans="1:12" ht="18" thickBot="1" thickTop="1">
      <c r="A22" s="410">
        <v>700</v>
      </c>
      <c r="B22" s="150"/>
      <c r="C22" s="154" t="s">
        <v>8</v>
      </c>
      <c r="D22" s="68">
        <f t="shared" si="2"/>
        <v>40000</v>
      </c>
      <c r="E22" s="69">
        <f t="shared" si="0"/>
        <v>40000</v>
      </c>
      <c r="F22" s="68">
        <v>0</v>
      </c>
      <c r="G22" s="68">
        <f>G23</f>
        <v>40000</v>
      </c>
      <c r="H22" s="68">
        <v>0</v>
      </c>
      <c r="I22" s="68">
        <v>0</v>
      </c>
      <c r="J22" s="68">
        <v>0</v>
      </c>
      <c r="K22" s="68">
        <v>0</v>
      </c>
      <c r="L22" s="411">
        <v>0</v>
      </c>
    </row>
    <row r="23" spans="1:12" ht="16.5" thickBot="1" thickTop="1">
      <c r="A23" s="419"/>
      <c r="B23" s="157">
        <v>70005</v>
      </c>
      <c r="C23" s="158" t="s">
        <v>49</v>
      </c>
      <c r="D23" s="94">
        <f t="shared" si="2"/>
        <v>40000</v>
      </c>
      <c r="E23" s="159">
        <f t="shared" si="0"/>
        <v>40000</v>
      </c>
      <c r="F23" s="94">
        <v>0</v>
      </c>
      <c r="G23" s="94">
        <f>40000</f>
        <v>40000</v>
      </c>
      <c r="H23" s="94">
        <v>0</v>
      </c>
      <c r="I23" s="94">
        <v>0</v>
      </c>
      <c r="J23" s="94">
        <v>0</v>
      </c>
      <c r="K23" s="94">
        <v>0</v>
      </c>
      <c r="L23" s="420">
        <v>0</v>
      </c>
    </row>
    <row r="24" spans="1:12" ht="27.75" customHeight="1" thickBot="1" thickTop="1">
      <c r="A24" s="410">
        <v>710</v>
      </c>
      <c r="B24" s="150"/>
      <c r="C24" s="154" t="s">
        <v>9</v>
      </c>
      <c r="D24" s="68">
        <f t="shared" si="2"/>
        <v>560500</v>
      </c>
      <c r="E24" s="69">
        <f t="shared" si="0"/>
        <v>555500</v>
      </c>
      <c r="F24" s="68">
        <f aca="true" t="shared" si="6" ref="F24:L24">SUM(F26+F25)</f>
        <v>414836</v>
      </c>
      <c r="G24" s="68">
        <f t="shared" si="6"/>
        <v>140064</v>
      </c>
      <c r="H24" s="68">
        <f t="shared" si="6"/>
        <v>0</v>
      </c>
      <c r="I24" s="68">
        <f>SUM(I26+I25)</f>
        <v>600</v>
      </c>
      <c r="J24" s="68">
        <f t="shared" si="6"/>
        <v>0</v>
      </c>
      <c r="K24" s="68">
        <f t="shared" si="6"/>
        <v>0</v>
      </c>
      <c r="L24" s="411">
        <f t="shared" si="6"/>
        <v>5000</v>
      </c>
    </row>
    <row r="25" spans="1:12" ht="15.75" thickTop="1">
      <c r="A25" s="412"/>
      <c r="B25" s="152">
        <v>71012</v>
      </c>
      <c r="C25" s="153" t="s">
        <v>141</v>
      </c>
      <c r="D25" s="73">
        <f t="shared" si="2"/>
        <v>559000</v>
      </c>
      <c r="E25" s="74">
        <f t="shared" si="0"/>
        <v>554000</v>
      </c>
      <c r="F25" s="73">
        <f>352632+62204</f>
        <v>414836</v>
      </c>
      <c r="G25" s="73">
        <f>180770-41606-600</f>
        <v>138564</v>
      </c>
      <c r="H25" s="73"/>
      <c r="I25" s="73">
        <f>600</f>
        <v>600</v>
      </c>
      <c r="J25" s="73">
        <v>0</v>
      </c>
      <c r="K25" s="73">
        <v>0</v>
      </c>
      <c r="L25" s="413">
        <f>5000</f>
        <v>5000</v>
      </c>
    </row>
    <row r="26" spans="1:12" ht="15.75" thickBot="1">
      <c r="A26" s="412"/>
      <c r="B26" s="152">
        <v>71095</v>
      </c>
      <c r="C26" s="153" t="s">
        <v>140</v>
      </c>
      <c r="D26" s="73">
        <f t="shared" si="2"/>
        <v>1500</v>
      </c>
      <c r="E26" s="74">
        <f t="shared" si="0"/>
        <v>1500</v>
      </c>
      <c r="F26" s="73">
        <v>0</v>
      </c>
      <c r="G26" s="73">
        <f>1500</f>
        <v>1500</v>
      </c>
      <c r="H26" s="73">
        <v>0</v>
      </c>
      <c r="I26" s="73">
        <v>0</v>
      </c>
      <c r="J26" s="73">
        <v>0</v>
      </c>
      <c r="K26" s="73">
        <v>0</v>
      </c>
      <c r="L26" s="413">
        <v>0</v>
      </c>
    </row>
    <row r="27" spans="1:12" ht="18" thickBot="1" thickTop="1">
      <c r="A27" s="410">
        <v>750</v>
      </c>
      <c r="B27" s="150"/>
      <c r="C27" s="154" t="s">
        <v>55</v>
      </c>
      <c r="D27" s="68">
        <f>E27+L27</f>
        <v>4973022</v>
      </c>
      <c r="E27" s="69">
        <f t="shared" si="0"/>
        <v>4903022</v>
      </c>
      <c r="F27" s="68">
        <f aca="true" t="shared" si="7" ref="F27:L27">SUM(F28:F31)</f>
        <v>3199503</v>
      </c>
      <c r="G27" s="68">
        <f t="shared" si="7"/>
        <v>1478919</v>
      </c>
      <c r="H27" s="68">
        <f t="shared" si="7"/>
        <v>20000</v>
      </c>
      <c r="I27" s="68">
        <f>SUM(I28:I31)</f>
        <v>204600</v>
      </c>
      <c r="J27" s="68">
        <f t="shared" si="7"/>
        <v>0</v>
      </c>
      <c r="K27" s="68">
        <f t="shared" si="7"/>
        <v>0</v>
      </c>
      <c r="L27" s="411">
        <f t="shared" si="7"/>
        <v>70000</v>
      </c>
    </row>
    <row r="28" spans="1:12" ht="15.75" thickTop="1">
      <c r="A28" s="412"/>
      <c r="B28" s="152">
        <v>75019</v>
      </c>
      <c r="C28" s="192" t="s">
        <v>144</v>
      </c>
      <c r="D28" s="73">
        <f t="shared" si="2"/>
        <v>210000</v>
      </c>
      <c r="E28" s="74">
        <f t="shared" si="0"/>
        <v>210000</v>
      </c>
      <c r="F28" s="73">
        <v>0</v>
      </c>
      <c r="G28" s="73">
        <f>215000-5000-199000</f>
        <v>11000</v>
      </c>
      <c r="H28" s="73">
        <v>0</v>
      </c>
      <c r="I28" s="73">
        <f>199000</f>
        <v>199000</v>
      </c>
      <c r="J28" s="73">
        <v>0</v>
      </c>
      <c r="K28" s="73">
        <v>0</v>
      </c>
      <c r="L28" s="438">
        <v>0</v>
      </c>
    </row>
    <row r="29" spans="1:12" s="15" customFormat="1" ht="15">
      <c r="A29" s="421"/>
      <c r="B29" s="160">
        <v>75020</v>
      </c>
      <c r="C29" s="447" t="s">
        <v>57</v>
      </c>
      <c r="D29" s="78">
        <f t="shared" si="2"/>
        <v>4703022</v>
      </c>
      <c r="E29" s="93">
        <f t="shared" si="0"/>
        <v>4633022</v>
      </c>
      <c r="F29" s="78">
        <f>2764358+485145-50000</f>
        <v>3199503</v>
      </c>
      <c r="G29" s="78">
        <f>1459519+4000-30000-5600</f>
        <v>1427919</v>
      </c>
      <c r="H29" s="78">
        <v>0</v>
      </c>
      <c r="I29" s="78">
        <f>5600</f>
        <v>5600</v>
      </c>
      <c r="J29" s="78">
        <v>0</v>
      </c>
      <c r="K29" s="78">
        <v>0</v>
      </c>
      <c r="L29" s="422">
        <f>40000+30000</f>
        <v>70000</v>
      </c>
    </row>
    <row r="30" spans="1:12" s="15" customFormat="1" ht="15">
      <c r="A30" s="122"/>
      <c r="B30" s="123">
        <v>75075</v>
      </c>
      <c r="C30" s="139" t="s">
        <v>145</v>
      </c>
      <c r="D30" s="78">
        <f t="shared" si="2"/>
        <v>40000</v>
      </c>
      <c r="E30" s="93">
        <f t="shared" si="0"/>
        <v>40000</v>
      </c>
      <c r="F30" s="78">
        <v>0</v>
      </c>
      <c r="G30" s="78">
        <f>50000-10000</f>
        <v>40000</v>
      </c>
      <c r="H30" s="78">
        <v>0</v>
      </c>
      <c r="I30" s="78">
        <v>0</v>
      </c>
      <c r="J30" s="78">
        <v>0</v>
      </c>
      <c r="K30" s="78">
        <v>0</v>
      </c>
      <c r="L30" s="422">
        <v>0</v>
      </c>
    </row>
    <row r="31" spans="1:12" ht="15.75" thickBot="1">
      <c r="A31" s="439"/>
      <c r="B31" s="382">
        <v>75095</v>
      </c>
      <c r="C31" s="383" t="s">
        <v>274</v>
      </c>
      <c r="D31" s="91">
        <f>E31+L31</f>
        <v>20000</v>
      </c>
      <c r="E31" s="92">
        <f t="shared" si="0"/>
        <v>20000</v>
      </c>
      <c r="F31" s="91">
        <f>0</f>
        <v>0</v>
      </c>
      <c r="G31" s="91">
        <f>0</f>
        <v>0</v>
      </c>
      <c r="H31" s="91">
        <f>50000-30000</f>
        <v>20000</v>
      </c>
      <c r="I31" s="91">
        <v>0</v>
      </c>
      <c r="J31" s="91">
        <f>SUM(J32)</f>
        <v>0</v>
      </c>
      <c r="K31" s="91">
        <f>SUM(K32)</f>
        <v>0</v>
      </c>
      <c r="L31" s="440">
        <f>SUM(L32)</f>
        <v>0</v>
      </c>
    </row>
    <row r="32" spans="1:12" ht="34.5" thickBot="1" thickTop="1">
      <c r="A32" s="441">
        <v>754</v>
      </c>
      <c r="B32" s="193"/>
      <c r="C32" s="194" t="s">
        <v>10</v>
      </c>
      <c r="D32" s="98">
        <f t="shared" si="2"/>
        <v>70000</v>
      </c>
      <c r="E32" s="99">
        <f t="shared" si="0"/>
        <v>70000</v>
      </c>
      <c r="F32" s="98">
        <f aca="true" t="shared" si="8" ref="F32:L32">F33</f>
        <v>0</v>
      </c>
      <c r="G32" s="98">
        <f t="shared" si="8"/>
        <v>70000</v>
      </c>
      <c r="H32" s="98">
        <f t="shared" si="8"/>
        <v>0</v>
      </c>
      <c r="I32" s="98">
        <f t="shared" si="8"/>
        <v>0</v>
      </c>
      <c r="J32" s="98">
        <f t="shared" si="8"/>
        <v>0</v>
      </c>
      <c r="K32" s="98">
        <f t="shared" si="8"/>
        <v>0</v>
      </c>
      <c r="L32" s="418">
        <f t="shared" si="8"/>
        <v>0</v>
      </c>
    </row>
    <row r="33" spans="1:12" ht="16.5" thickBot="1" thickTop="1">
      <c r="A33" s="442"/>
      <c r="B33" s="195">
        <v>75495</v>
      </c>
      <c r="C33" s="196" t="s">
        <v>140</v>
      </c>
      <c r="D33" s="197">
        <f t="shared" si="2"/>
        <v>70000</v>
      </c>
      <c r="E33" s="198">
        <f t="shared" si="0"/>
        <v>70000</v>
      </c>
      <c r="F33" s="197">
        <v>0</v>
      </c>
      <c r="G33" s="199">
        <f>70000</f>
        <v>70000</v>
      </c>
      <c r="H33" s="199">
        <v>0</v>
      </c>
      <c r="I33" s="199">
        <v>0</v>
      </c>
      <c r="J33" s="197">
        <v>0</v>
      </c>
      <c r="K33" s="197">
        <v>0</v>
      </c>
      <c r="L33" s="443">
        <f>40000-40000</f>
        <v>0</v>
      </c>
    </row>
    <row r="34" spans="1:12" ht="18" thickBot="1" thickTop="1">
      <c r="A34" s="272">
        <v>757</v>
      </c>
      <c r="B34" s="185"/>
      <c r="C34" s="200" t="s">
        <v>11</v>
      </c>
      <c r="D34" s="68">
        <f t="shared" si="2"/>
        <v>850000</v>
      </c>
      <c r="E34" s="69">
        <f t="shared" si="0"/>
        <v>850000</v>
      </c>
      <c r="F34" s="68">
        <f aca="true" t="shared" si="9" ref="F34:L34">SUM(F35)</f>
        <v>0</v>
      </c>
      <c r="G34" s="68">
        <f t="shared" si="9"/>
        <v>0</v>
      </c>
      <c r="H34" s="68">
        <f t="shared" si="9"/>
        <v>0</v>
      </c>
      <c r="I34" s="68">
        <f t="shared" si="9"/>
        <v>0</v>
      </c>
      <c r="J34" s="68">
        <f t="shared" si="9"/>
        <v>0</v>
      </c>
      <c r="K34" s="68">
        <f t="shared" si="9"/>
        <v>850000</v>
      </c>
      <c r="L34" s="411">
        <f t="shared" si="9"/>
        <v>0</v>
      </c>
    </row>
    <row r="35" spans="1:12" ht="30" thickBot="1" thickTop="1">
      <c r="A35" s="307"/>
      <c r="B35" s="201">
        <v>75702</v>
      </c>
      <c r="C35" s="202" t="s">
        <v>248</v>
      </c>
      <c r="D35" s="199">
        <f t="shared" si="2"/>
        <v>850000</v>
      </c>
      <c r="E35" s="203">
        <f t="shared" si="0"/>
        <v>850000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850000</v>
      </c>
      <c r="L35" s="416">
        <v>0</v>
      </c>
    </row>
    <row r="36" spans="1:12" ht="18" thickBot="1" thickTop="1">
      <c r="A36" s="417">
        <v>758</v>
      </c>
      <c r="B36" s="155"/>
      <c r="C36" s="156" t="s">
        <v>12</v>
      </c>
      <c r="D36" s="98">
        <f t="shared" si="2"/>
        <v>323342</v>
      </c>
      <c r="E36" s="99">
        <f t="shared" si="0"/>
        <v>228342</v>
      </c>
      <c r="F36" s="98">
        <f>SUM(F37)</f>
        <v>0</v>
      </c>
      <c r="G36" s="98">
        <f aca="true" t="shared" si="10" ref="G36:L36">G37</f>
        <v>228342</v>
      </c>
      <c r="H36" s="98">
        <f t="shared" si="10"/>
        <v>0</v>
      </c>
      <c r="I36" s="98">
        <f t="shared" si="10"/>
        <v>0</v>
      </c>
      <c r="J36" s="98">
        <f t="shared" si="10"/>
        <v>0</v>
      </c>
      <c r="K36" s="98">
        <f t="shared" si="10"/>
        <v>0</v>
      </c>
      <c r="L36" s="418">
        <f t="shared" si="10"/>
        <v>95000</v>
      </c>
    </row>
    <row r="37" spans="1:12" ht="15.75" thickTop="1">
      <c r="A37" s="419"/>
      <c r="B37" s="157">
        <v>75818</v>
      </c>
      <c r="C37" s="158" t="s">
        <v>148</v>
      </c>
      <c r="D37" s="94">
        <f t="shared" si="2"/>
        <v>323342</v>
      </c>
      <c r="E37" s="159">
        <f t="shared" si="0"/>
        <v>228342</v>
      </c>
      <c r="F37" s="94">
        <f aca="true" t="shared" si="11" ref="F37:L37">SUM(F38+F39)</f>
        <v>0</v>
      </c>
      <c r="G37" s="94">
        <f t="shared" si="11"/>
        <v>228342</v>
      </c>
      <c r="H37" s="94">
        <f t="shared" si="11"/>
        <v>0</v>
      </c>
      <c r="I37" s="94">
        <f>SUM(I38+I39)</f>
        <v>0</v>
      </c>
      <c r="J37" s="94">
        <f t="shared" si="11"/>
        <v>0</v>
      </c>
      <c r="K37" s="94">
        <f t="shared" si="11"/>
        <v>0</v>
      </c>
      <c r="L37" s="420">
        <f t="shared" si="11"/>
        <v>95000</v>
      </c>
    </row>
    <row r="38" spans="1:12" ht="15">
      <c r="A38" s="421"/>
      <c r="B38" s="160"/>
      <c r="C38" s="95" t="s">
        <v>181</v>
      </c>
      <c r="D38" s="78">
        <f t="shared" si="2"/>
        <v>308342</v>
      </c>
      <c r="E38" s="93">
        <f t="shared" si="0"/>
        <v>213342</v>
      </c>
      <c r="F38" s="78">
        <v>0</v>
      </c>
      <c r="G38" s="78">
        <f>308342-95000</f>
        <v>213342</v>
      </c>
      <c r="H38" s="78">
        <v>0</v>
      </c>
      <c r="I38" s="78">
        <v>0</v>
      </c>
      <c r="J38" s="78">
        <v>0</v>
      </c>
      <c r="K38" s="78">
        <v>0</v>
      </c>
      <c r="L38" s="422">
        <v>95000</v>
      </c>
    </row>
    <row r="39" spans="1:12" ht="15">
      <c r="A39" s="419"/>
      <c r="B39" s="157"/>
      <c r="C39" s="172" t="s">
        <v>149</v>
      </c>
      <c r="D39" s="94">
        <f t="shared" si="2"/>
        <v>15000</v>
      </c>
      <c r="E39" s="159">
        <f t="shared" si="0"/>
        <v>15000</v>
      </c>
      <c r="F39" s="94">
        <v>0</v>
      </c>
      <c r="G39" s="94">
        <f>SUM(G40)</f>
        <v>15000</v>
      </c>
      <c r="H39" s="94">
        <f>SUM(H40)</f>
        <v>0</v>
      </c>
      <c r="I39" s="94">
        <f>SUM(I40)</f>
        <v>0</v>
      </c>
      <c r="J39" s="94">
        <f>SUM(J40)</f>
        <v>0</v>
      </c>
      <c r="K39" s="94">
        <f>SUM(K40)</f>
        <v>0</v>
      </c>
      <c r="L39" s="422">
        <v>0</v>
      </c>
    </row>
    <row r="40" spans="1:12" ht="29.25" thickBot="1">
      <c r="A40" s="421"/>
      <c r="B40" s="160"/>
      <c r="C40" s="173" t="s">
        <v>150</v>
      </c>
      <c r="D40" s="78">
        <f>E40</f>
        <v>15000</v>
      </c>
      <c r="E40" s="93">
        <f t="shared" si="0"/>
        <v>15000</v>
      </c>
      <c r="F40" s="78">
        <v>0</v>
      </c>
      <c r="G40" s="78">
        <v>15000</v>
      </c>
      <c r="H40" s="78">
        <v>0</v>
      </c>
      <c r="I40" s="78">
        <v>0</v>
      </c>
      <c r="J40" s="78">
        <v>0</v>
      </c>
      <c r="K40" s="78">
        <v>0</v>
      </c>
      <c r="L40" s="422">
        <v>0</v>
      </c>
    </row>
    <row r="41" spans="1:12" ht="18" thickBot="1" thickTop="1">
      <c r="A41" s="272">
        <v>801</v>
      </c>
      <c r="B41" s="185"/>
      <c r="C41" s="187" t="s">
        <v>82</v>
      </c>
      <c r="D41" s="68">
        <f aca="true" t="shared" si="12" ref="D41:D51">E41+L41</f>
        <v>10926366</v>
      </c>
      <c r="E41" s="69">
        <f t="shared" si="0"/>
        <v>10926366</v>
      </c>
      <c r="F41" s="68">
        <f aca="true" t="shared" si="13" ref="F41:L41">F42+F43+F44+F52+F55+F57+F60+F61</f>
        <v>7495361</v>
      </c>
      <c r="G41" s="68">
        <f t="shared" si="13"/>
        <v>1484192</v>
      </c>
      <c r="H41" s="68">
        <f t="shared" si="13"/>
        <v>1941813</v>
      </c>
      <c r="I41" s="68">
        <f>I42+I43+I44+I52+I55+I57+I60+I61</f>
        <v>5000</v>
      </c>
      <c r="J41" s="68">
        <f t="shared" si="13"/>
        <v>0</v>
      </c>
      <c r="K41" s="68">
        <f t="shared" si="13"/>
        <v>0</v>
      </c>
      <c r="L41" s="411">
        <f t="shared" si="13"/>
        <v>0</v>
      </c>
    </row>
    <row r="42" spans="1:12" ht="15.75" thickTop="1">
      <c r="A42" s="119"/>
      <c r="B42" s="60">
        <v>80102</v>
      </c>
      <c r="C42" s="189" t="s">
        <v>83</v>
      </c>
      <c r="D42" s="73">
        <f t="shared" si="12"/>
        <v>287843</v>
      </c>
      <c r="E42" s="74">
        <f t="shared" si="0"/>
        <v>287843</v>
      </c>
      <c r="F42" s="73">
        <f>228782+41250</f>
        <v>270032</v>
      </c>
      <c r="G42" s="73">
        <f>17811</f>
        <v>17811</v>
      </c>
      <c r="H42" s="73">
        <v>0</v>
      </c>
      <c r="I42" s="73">
        <v>0</v>
      </c>
      <c r="J42" s="73">
        <v>0</v>
      </c>
      <c r="K42" s="73">
        <v>0</v>
      </c>
      <c r="L42" s="413">
        <v>0</v>
      </c>
    </row>
    <row r="43" spans="1:12" ht="15">
      <c r="A43" s="122"/>
      <c r="B43" s="123">
        <v>80111</v>
      </c>
      <c r="C43" s="204" t="s">
        <v>84</v>
      </c>
      <c r="D43" s="78">
        <f t="shared" si="12"/>
        <v>607861</v>
      </c>
      <c r="E43" s="93">
        <f t="shared" si="0"/>
        <v>607861</v>
      </c>
      <c r="F43" s="78">
        <f>583446</f>
        <v>583446</v>
      </c>
      <c r="G43" s="78">
        <f>24415</f>
        <v>24415</v>
      </c>
      <c r="H43" s="78">
        <v>0</v>
      </c>
      <c r="I43" s="78">
        <v>0</v>
      </c>
      <c r="J43" s="78">
        <v>0</v>
      </c>
      <c r="K43" s="78">
        <v>0</v>
      </c>
      <c r="L43" s="422">
        <v>0</v>
      </c>
    </row>
    <row r="44" spans="1:12" ht="15">
      <c r="A44" s="122"/>
      <c r="B44" s="123">
        <v>80120</v>
      </c>
      <c r="C44" s="204" t="s">
        <v>85</v>
      </c>
      <c r="D44" s="78">
        <f>E44+L44</f>
        <v>2626880</v>
      </c>
      <c r="E44" s="93">
        <f t="shared" si="0"/>
        <v>2626880</v>
      </c>
      <c r="F44" s="78">
        <f aca="true" t="shared" si="14" ref="F44:K44">SUM(F45:F51)</f>
        <v>2160292</v>
      </c>
      <c r="G44" s="78">
        <f t="shared" si="14"/>
        <v>333980</v>
      </c>
      <c r="H44" s="78">
        <f t="shared" si="14"/>
        <v>130608</v>
      </c>
      <c r="I44" s="78">
        <f t="shared" si="14"/>
        <v>2000</v>
      </c>
      <c r="J44" s="78">
        <f t="shared" si="14"/>
        <v>0</v>
      </c>
      <c r="K44" s="78">
        <f t="shared" si="14"/>
        <v>0</v>
      </c>
      <c r="L44" s="422">
        <f>SUM(L45:L48)</f>
        <v>0</v>
      </c>
    </row>
    <row r="45" spans="1:12" ht="15" hidden="1">
      <c r="A45" s="423"/>
      <c r="B45" s="162"/>
      <c r="C45" s="163" t="s">
        <v>182</v>
      </c>
      <c r="D45" s="164">
        <f t="shared" si="12"/>
        <v>2395663</v>
      </c>
      <c r="E45" s="93">
        <f aca="true" t="shared" si="15" ref="E45:E76">SUM(F45:K45)</f>
        <v>2395663</v>
      </c>
      <c r="F45" s="78">
        <f>2075083</f>
        <v>2075083</v>
      </c>
      <c r="G45" s="78">
        <f>320580-2000</f>
        <v>318580</v>
      </c>
      <c r="H45" s="78">
        <v>0</v>
      </c>
      <c r="I45" s="78">
        <f>2000</f>
        <v>2000</v>
      </c>
      <c r="J45" s="78">
        <v>0</v>
      </c>
      <c r="K45" s="78">
        <v>0</v>
      </c>
      <c r="L45" s="422">
        <f>0</f>
        <v>0</v>
      </c>
    </row>
    <row r="46" spans="1:12" ht="15" hidden="1">
      <c r="A46" s="423"/>
      <c r="B46" s="162"/>
      <c r="C46" s="163" t="s">
        <v>296</v>
      </c>
      <c r="D46" s="164">
        <f t="shared" si="12"/>
        <v>0</v>
      </c>
      <c r="E46" s="93">
        <f t="shared" si="15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422">
        <v>0</v>
      </c>
    </row>
    <row r="47" spans="1:12" ht="30" hidden="1">
      <c r="A47" s="423"/>
      <c r="B47" s="162"/>
      <c r="C47" s="163" t="s">
        <v>267</v>
      </c>
      <c r="D47" s="164">
        <f t="shared" si="12"/>
        <v>74880</v>
      </c>
      <c r="E47" s="93">
        <f t="shared" si="15"/>
        <v>74880</v>
      </c>
      <c r="F47" s="78">
        <v>0</v>
      </c>
      <c r="G47" s="78">
        <v>0</v>
      </c>
      <c r="H47" s="78">
        <v>74880</v>
      </c>
      <c r="I47" s="78">
        <v>0</v>
      </c>
      <c r="J47" s="78">
        <v>0</v>
      </c>
      <c r="K47" s="78">
        <v>0</v>
      </c>
      <c r="L47" s="422">
        <v>0</v>
      </c>
    </row>
    <row r="48" spans="1:12" ht="15" hidden="1">
      <c r="A48" s="423"/>
      <c r="B48" s="162"/>
      <c r="C48" s="163" t="s">
        <v>183</v>
      </c>
      <c r="D48" s="164">
        <f t="shared" si="12"/>
        <v>18648</v>
      </c>
      <c r="E48" s="93">
        <f t="shared" si="15"/>
        <v>18648</v>
      </c>
      <c r="F48" s="78">
        <v>0</v>
      </c>
      <c r="G48" s="78">
        <v>0</v>
      </c>
      <c r="H48" s="78">
        <v>18648</v>
      </c>
      <c r="I48" s="78">
        <v>0</v>
      </c>
      <c r="J48" s="78">
        <v>0</v>
      </c>
      <c r="K48" s="78">
        <v>0</v>
      </c>
      <c r="L48" s="422">
        <v>0</v>
      </c>
    </row>
    <row r="49" spans="1:12" ht="15" hidden="1">
      <c r="A49" s="423"/>
      <c r="B49" s="162"/>
      <c r="C49" s="163" t="s">
        <v>184</v>
      </c>
      <c r="D49" s="164">
        <f t="shared" si="12"/>
        <v>100609</v>
      </c>
      <c r="E49" s="93">
        <f t="shared" si="15"/>
        <v>100609</v>
      </c>
      <c r="F49" s="78">
        <f>71991+13218</f>
        <v>85209</v>
      </c>
      <c r="G49" s="78">
        <f>15400</f>
        <v>15400</v>
      </c>
      <c r="H49" s="78">
        <v>0</v>
      </c>
      <c r="I49" s="78">
        <v>0</v>
      </c>
      <c r="J49" s="78">
        <v>0</v>
      </c>
      <c r="K49" s="78">
        <v>0</v>
      </c>
      <c r="L49" s="422">
        <v>0</v>
      </c>
    </row>
    <row r="50" spans="1:12" ht="15" hidden="1">
      <c r="A50" s="423"/>
      <c r="B50" s="162"/>
      <c r="C50" s="163" t="s">
        <v>279</v>
      </c>
      <c r="D50" s="164">
        <f t="shared" si="12"/>
        <v>1512</v>
      </c>
      <c r="E50" s="93">
        <f t="shared" si="15"/>
        <v>1512</v>
      </c>
      <c r="F50" s="78">
        <v>0</v>
      </c>
      <c r="G50" s="78">
        <v>0</v>
      </c>
      <c r="H50" s="78">
        <v>1512</v>
      </c>
      <c r="I50" s="78">
        <v>0</v>
      </c>
      <c r="J50" s="78">
        <v>0</v>
      </c>
      <c r="K50" s="78">
        <v>0</v>
      </c>
      <c r="L50" s="422">
        <v>0</v>
      </c>
    </row>
    <row r="51" spans="1:12" ht="15" hidden="1">
      <c r="A51" s="423"/>
      <c r="B51" s="162"/>
      <c r="C51" s="163" t="s">
        <v>280</v>
      </c>
      <c r="D51" s="164">
        <f t="shared" si="12"/>
        <v>35568</v>
      </c>
      <c r="E51" s="93">
        <f t="shared" si="15"/>
        <v>35568</v>
      </c>
      <c r="F51" s="78">
        <v>0</v>
      </c>
      <c r="G51" s="78">
        <v>0</v>
      </c>
      <c r="H51" s="78">
        <v>35568</v>
      </c>
      <c r="I51" s="78">
        <v>0</v>
      </c>
      <c r="J51" s="78">
        <v>0</v>
      </c>
      <c r="K51" s="78">
        <v>0</v>
      </c>
      <c r="L51" s="422">
        <v>0</v>
      </c>
    </row>
    <row r="52" spans="1:12" ht="15">
      <c r="A52" s="421"/>
      <c r="B52" s="123">
        <v>80130</v>
      </c>
      <c r="C52" s="204" t="s">
        <v>87</v>
      </c>
      <c r="D52" s="78">
        <f>E52+L52</f>
        <v>4118940</v>
      </c>
      <c r="E52" s="93">
        <f t="shared" si="15"/>
        <v>4118940</v>
      </c>
      <c r="F52" s="78">
        <f aca="true" t="shared" si="16" ref="F52:L52">F53+F54</f>
        <v>3399719</v>
      </c>
      <c r="G52" s="78">
        <f t="shared" si="16"/>
        <v>679141</v>
      </c>
      <c r="H52" s="78">
        <f t="shared" si="16"/>
        <v>37080</v>
      </c>
      <c r="I52" s="78">
        <f>I53+I54</f>
        <v>3000</v>
      </c>
      <c r="J52" s="78">
        <f t="shared" si="16"/>
        <v>0</v>
      </c>
      <c r="K52" s="78">
        <f t="shared" si="16"/>
        <v>0</v>
      </c>
      <c r="L52" s="422">
        <f t="shared" si="16"/>
        <v>0</v>
      </c>
    </row>
    <row r="53" spans="1:12" ht="15" hidden="1">
      <c r="A53" s="423"/>
      <c r="B53" s="162"/>
      <c r="C53" s="163" t="s">
        <v>184</v>
      </c>
      <c r="D53" s="164">
        <f aca="true" t="shared" si="17" ref="D53:D72">E53+L53</f>
        <v>4081860</v>
      </c>
      <c r="E53" s="93">
        <f t="shared" si="15"/>
        <v>4081860</v>
      </c>
      <c r="F53" s="78">
        <f>3399719</f>
        <v>3399719</v>
      </c>
      <c r="G53" s="78">
        <f>682141-3000</f>
        <v>679141</v>
      </c>
      <c r="H53" s="78">
        <v>0</v>
      </c>
      <c r="I53" s="78">
        <f>3000</f>
        <v>3000</v>
      </c>
      <c r="J53" s="78">
        <v>0</v>
      </c>
      <c r="K53" s="78">
        <v>0</v>
      </c>
      <c r="L53" s="422">
        <f>0</f>
        <v>0</v>
      </c>
    </row>
    <row r="54" spans="1:12" ht="45" hidden="1">
      <c r="A54" s="423"/>
      <c r="B54" s="162"/>
      <c r="C54" s="163" t="s">
        <v>185</v>
      </c>
      <c r="D54" s="164">
        <f t="shared" si="17"/>
        <v>37080</v>
      </c>
      <c r="E54" s="93">
        <f t="shared" si="15"/>
        <v>37080</v>
      </c>
      <c r="F54" s="78">
        <v>0</v>
      </c>
      <c r="G54" s="78">
        <v>0</v>
      </c>
      <c r="H54" s="78">
        <v>37080</v>
      </c>
      <c r="I54" s="78">
        <v>0</v>
      </c>
      <c r="J54" s="78">
        <v>0</v>
      </c>
      <c r="K54" s="78">
        <v>0</v>
      </c>
      <c r="L54" s="422">
        <v>0</v>
      </c>
    </row>
    <row r="55" spans="1:12" ht="15">
      <c r="A55" s="421"/>
      <c r="B55" s="123">
        <v>80134</v>
      </c>
      <c r="C55" s="204" t="s">
        <v>91</v>
      </c>
      <c r="D55" s="78">
        <f t="shared" si="17"/>
        <v>820779</v>
      </c>
      <c r="E55" s="93">
        <f t="shared" si="15"/>
        <v>820779</v>
      </c>
      <c r="F55" s="78">
        <f>F56</f>
        <v>773108</v>
      </c>
      <c r="G55" s="78">
        <f>G56</f>
        <v>47671</v>
      </c>
      <c r="H55" s="78">
        <f>SUM(H56)</f>
        <v>0</v>
      </c>
      <c r="I55" s="78">
        <f>SUM(I56)</f>
        <v>0</v>
      </c>
      <c r="J55" s="78">
        <f>SUM(J56)</f>
        <v>0</v>
      </c>
      <c r="K55" s="78">
        <f>SUM(K56)</f>
        <v>0</v>
      </c>
      <c r="L55" s="422">
        <f>L56</f>
        <v>0</v>
      </c>
    </row>
    <row r="56" spans="1:12" ht="15" hidden="1">
      <c r="A56" s="423"/>
      <c r="B56" s="162"/>
      <c r="C56" s="163" t="s">
        <v>186</v>
      </c>
      <c r="D56" s="164">
        <f t="shared" si="17"/>
        <v>820779</v>
      </c>
      <c r="E56" s="93">
        <f t="shared" si="15"/>
        <v>820779</v>
      </c>
      <c r="F56" s="78">
        <f>773108</f>
        <v>773108</v>
      </c>
      <c r="G56" s="78">
        <f>47671</f>
        <v>47671</v>
      </c>
      <c r="H56" s="78">
        <v>0</v>
      </c>
      <c r="I56" s="78">
        <v>0</v>
      </c>
      <c r="J56" s="78">
        <v>0</v>
      </c>
      <c r="K56" s="78">
        <v>0</v>
      </c>
      <c r="L56" s="422">
        <v>0</v>
      </c>
    </row>
    <row r="57" spans="1:12" ht="14.25" customHeight="1">
      <c r="A57" s="421"/>
      <c r="B57" s="123">
        <v>80144</v>
      </c>
      <c r="C57" s="204" t="s">
        <v>187</v>
      </c>
      <c r="D57" s="78">
        <f t="shared" si="17"/>
        <v>2254125</v>
      </c>
      <c r="E57" s="93">
        <f t="shared" si="15"/>
        <v>2254125</v>
      </c>
      <c r="F57" s="78">
        <f aca="true" t="shared" si="18" ref="F57:K57">SUM(F58:F59)</f>
        <v>282549</v>
      </c>
      <c r="G57" s="78">
        <f t="shared" si="18"/>
        <v>197451</v>
      </c>
      <c r="H57" s="78">
        <f t="shared" si="18"/>
        <v>1774125</v>
      </c>
      <c r="I57" s="78">
        <f t="shared" si="18"/>
        <v>0</v>
      </c>
      <c r="J57" s="78">
        <f t="shared" si="18"/>
        <v>0</v>
      </c>
      <c r="K57" s="78">
        <f t="shared" si="18"/>
        <v>0</v>
      </c>
      <c r="L57" s="422">
        <f>L58</f>
        <v>0</v>
      </c>
    </row>
    <row r="58" spans="1:12" ht="30" hidden="1">
      <c r="A58" s="423"/>
      <c r="B58" s="162"/>
      <c r="C58" s="163" t="s">
        <v>188</v>
      </c>
      <c r="D58" s="164">
        <f t="shared" si="17"/>
        <v>1774125</v>
      </c>
      <c r="E58" s="93">
        <f t="shared" si="15"/>
        <v>1774125</v>
      </c>
      <c r="F58" s="78">
        <v>0</v>
      </c>
      <c r="G58" s="78">
        <v>0</v>
      </c>
      <c r="H58" s="78">
        <v>1774125</v>
      </c>
      <c r="I58" s="78">
        <v>0</v>
      </c>
      <c r="J58" s="78">
        <v>0</v>
      </c>
      <c r="K58" s="78">
        <v>0</v>
      </c>
      <c r="L58" s="422">
        <v>0</v>
      </c>
    </row>
    <row r="59" spans="1:12" ht="15" hidden="1">
      <c r="A59" s="423"/>
      <c r="B59" s="162"/>
      <c r="C59" s="163" t="s">
        <v>297</v>
      </c>
      <c r="D59" s="164">
        <f t="shared" si="17"/>
        <v>480000</v>
      </c>
      <c r="E59" s="93">
        <f t="shared" si="15"/>
        <v>480000</v>
      </c>
      <c r="F59" s="78">
        <f>244481+38068</f>
        <v>282549</v>
      </c>
      <c r="G59" s="78">
        <f>197451</f>
        <v>197451</v>
      </c>
      <c r="H59" s="78">
        <v>0</v>
      </c>
      <c r="I59" s="78">
        <v>0</v>
      </c>
      <c r="J59" s="78">
        <v>0</v>
      </c>
      <c r="K59" s="78">
        <v>0</v>
      </c>
      <c r="L59" s="422">
        <v>0</v>
      </c>
    </row>
    <row r="60" spans="1:12" ht="15">
      <c r="A60" s="122"/>
      <c r="B60" s="123">
        <v>80146</v>
      </c>
      <c r="C60" s="204" t="s">
        <v>159</v>
      </c>
      <c r="D60" s="78">
        <f t="shared" si="17"/>
        <v>60870</v>
      </c>
      <c r="E60" s="93">
        <f t="shared" si="15"/>
        <v>60870</v>
      </c>
      <c r="F60" s="78">
        <v>0</v>
      </c>
      <c r="G60" s="78">
        <v>60870</v>
      </c>
      <c r="H60" s="78">
        <v>0</v>
      </c>
      <c r="I60" s="78">
        <v>0</v>
      </c>
      <c r="J60" s="78">
        <v>0</v>
      </c>
      <c r="K60" s="78">
        <v>0</v>
      </c>
      <c r="L60" s="422">
        <v>0</v>
      </c>
    </row>
    <row r="61" spans="1:12" ht="15.75" thickBot="1">
      <c r="A61" s="421"/>
      <c r="B61" s="160">
        <v>80195</v>
      </c>
      <c r="C61" s="161" t="s">
        <v>140</v>
      </c>
      <c r="D61" s="78">
        <f t="shared" si="17"/>
        <v>149068</v>
      </c>
      <c r="E61" s="93">
        <f t="shared" si="15"/>
        <v>149068</v>
      </c>
      <c r="F61" s="78">
        <f>26215</f>
        <v>26215</v>
      </c>
      <c r="G61" s="78">
        <v>122853</v>
      </c>
      <c r="H61" s="78">
        <v>0</v>
      </c>
      <c r="I61" s="78">
        <v>0</v>
      </c>
      <c r="J61" s="78">
        <v>0</v>
      </c>
      <c r="K61" s="78">
        <v>0</v>
      </c>
      <c r="L61" s="422">
        <v>0</v>
      </c>
    </row>
    <row r="62" spans="1:12" ht="18" thickBot="1" thickTop="1">
      <c r="A62" s="272">
        <v>851</v>
      </c>
      <c r="B62" s="185"/>
      <c r="C62" s="154" t="s">
        <v>13</v>
      </c>
      <c r="D62" s="68">
        <f t="shared" si="17"/>
        <v>288556</v>
      </c>
      <c r="E62" s="69">
        <f t="shared" si="15"/>
        <v>288556</v>
      </c>
      <c r="F62" s="68">
        <f aca="true" t="shared" si="19" ref="F62:L62">SUM(F63)</f>
        <v>0</v>
      </c>
      <c r="G62" s="68">
        <f t="shared" si="19"/>
        <v>288556</v>
      </c>
      <c r="H62" s="68">
        <f t="shared" si="19"/>
        <v>0</v>
      </c>
      <c r="I62" s="68">
        <f t="shared" si="19"/>
        <v>0</v>
      </c>
      <c r="J62" s="68">
        <f t="shared" si="19"/>
        <v>0</v>
      </c>
      <c r="K62" s="68">
        <f t="shared" si="19"/>
        <v>0</v>
      </c>
      <c r="L62" s="411">
        <f t="shared" si="19"/>
        <v>0</v>
      </c>
    </row>
    <row r="63" spans="1:12" ht="16.5" thickBot="1" thickTop="1">
      <c r="A63" s="119"/>
      <c r="B63" s="60">
        <v>85195</v>
      </c>
      <c r="C63" s="189" t="s">
        <v>140</v>
      </c>
      <c r="D63" s="73">
        <f t="shared" si="17"/>
        <v>288556</v>
      </c>
      <c r="E63" s="74">
        <f t="shared" si="15"/>
        <v>288556</v>
      </c>
      <c r="F63" s="73">
        <v>0</v>
      </c>
      <c r="G63" s="73">
        <f>200000+88556</f>
        <v>288556</v>
      </c>
      <c r="H63" s="73">
        <v>0</v>
      </c>
      <c r="I63" s="73">
        <v>0</v>
      </c>
      <c r="J63" s="73">
        <v>0</v>
      </c>
      <c r="K63" s="73">
        <f>SUM(K64:K66)</f>
        <v>0</v>
      </c>
      <c r="L63" s="413">
        <v>0</v>
      </c>
    </row>
    <row r="64" spans="1:12" ht="18" thickBot="1" thickTop="1">
      <c r="A64" s="410">
        <v>852</v>
      </c>
      <c r="B64" s="150"/>
      <c r="C64" s="154" t="s">
        <v>96</v>
      </c>
      <c r="D64" s="68">
        <f>E64+L64</f>
        <v>6093598</v>
      </c>
      <c r="E64" s="69">
        <f>SUM(F64:K64)</f>
        <v>6003598</v>
      </c>
      <c r="F64" s="68">
        <f>F65+F69+F70+F71+F70+F72</f>
        <v>3260098</v>
      </c>
      <c r="G64" s="68">
        <f>SUM(G65+G69+G70+G71+G72)</f>
        <v>1205892</v>
      </c>
      <c r="H64" s="68">
        <f>H65+H69+H70+H71+H70+H72</f>
        <v>591551</v>
      </c>
      <c r="I64" s="68">
        <f>SUM(I65+I69+I70)</f>
        <v>946057</v>
      </c>
      <c r="J64" s="68">
        <f>J65+J69+J70+J71+J70+J72</f>
        <v>0</v>
      </c>
      <c r="K64" s="68">
        <f>K65+K69+K70+K71+K70+K72</f>
        <v>0</v>
      </c>
      <c r="L64" s="411">
        <f>L65+L69+L70+L71+L70</f>
        <v>90000</v>
      </c>
    </row>
    <row r="65" spans="1:12" ht="15.75" thickTop="1">
      <c r="A65" s="119"/>
      <c r="B65" s="60">
        <v>85201</v>
      </c>
      <c r="C65" s="189" t="s">
        <v>189</v>
      </c>
      <c r="D65" s="73">
        <f t="shared" si="17"/>
        <v>2044652</v>
      </c>
      <c r="E65" s="74">
        <f t="shared" si="15"/>
        <v>2044652</v>
      </c>
      <c r="F65" s="73">
        <f>F66+F67+F68</f>
        <v>1026000</v>
      </c>
      <c r="G65" s="73">
        <f>G66+G67+G68</f>
        <v>335500</v>
      </c>
      <c r="H65" s="73">
        <f>SUM(H66:H68)</f>
        <v>591551</v>
      </c>
      <c r="I65" s="73">
        <f>SUM(I66:I68)</f>
        <v>91601</v>
      </c>
      <c r="J65" s="73">
        <f>SUM(J66:J68)</f>
        <v>0</v>
      </c>
      <c r="K65" s="73">
        <f>SUM(K66:K68)</f>
        <v>0</v>
      </c>
      <c r="L65" s="413">
        <f>L66</f>
        <v>0</v>
      </c>
    </row>
    <row r="66" spans="1:12" ht="15" hidden="1">
      <c r="A66" s="423"/>
      <c r="B66" s="162"/>
      <c r="C66" s="163" t="s">
        <v>190</v>
      </c>
      <c r="D66" s="164">
        <f t="shared" si="17"/>
        <v>1387000</v>
      </c>
      <c r="E66" s="93">
        <f t="shared" si="15"/>
        <v>1387000</v>
      </c>
      <c r="F66" s="78">
        <f>900000+156000-30000</f>
        <v>1026000</v>
      </c>
      <c r="G66" s="78">
        <f>361000-25500</f>
        <v>335500</v>
      </c>
      <c r="H66" s="78">
        <v>0</v>
      </c>
      <c r="I66" s="78">
        <f>25500</f>
        <v>25500</v>
      </c>
      <c r="J66" s="78">
        <v>0</v>
      </c>
      <c r="K66" s="78">
        <v>0</v>
      </c>
      <c r="L66" s="422">
        <f>120000-120000</f>
        <v>0</v>
      </c>
    </row>
    <row r="67" spans="1:12" ht="15" hidden="1">
      <c r="A67" s="423"/>
      <c r="B67" s="162"/>
      <c r="C67" s="163" t="s">
        <v>191</v>
      </c>
      <c r="D67" s="164">
        <f t="shared" si="17"/>
        <v>66101</v>
      </c>
      <c r="E67" s="93">
        <f t="shared" si="15"/>
        <v>66101</v>
      </c>
      <c r="F67" s="78">
        <v>0</v>
      </c>
      <c r="G67" s="78">
        <f>66101-66101</f>
        <v>0</v>
      </c>
      <c r="H67" s="78">
        <v>0</v>
      </c>
      <c r="I67" s="78">
        <f>66101</f>
        <v>66101</v>
      </c>
      <c r="J67" s="78">
        <v>0</v>
      </c>
      <c r="K67" s="78">
        <v>0</v>
      </c>
      <c r="L67" s="422">
        <v>0</v>
      </c>
    </row>
    <row r="68" spans="1:12" ht="15" hidden="1">
      <c r="A68" s="423"/>
      <c r="B68" s="162"/>
      <c r="C68" s="163" t="s">
        <v>166</v>
      </c>
      <c r="D68" s="164">
        <f t="shared" si="17"/>
        <v>591551</v>
      </c>
      <c r="E68" s="93">
        <f t="shared" si="15"/>
        <v>591551</v>
      </c>
      <c r="F68" s="78">
        <v>0</v>
      </c>
      <c r="G68" s="78">
        <v>0</v>
      </c>
      <c r="H68" s="78">
        <v>591551</v>
      </c>
      <c r="I68" s="78">
        <v>0</v>
      </c>
      <c r="J68" s="78">
        <v>0</v>
      </c>
      <c r="K68" s="78">
        <v>0</v>
      </c>
      <c r="L68" s="422">
        <v>0</v>
      </c>
    </row>
    <row r="69" spans="1:12" ht="15">
      <c r="A69" s="421"/>
      <c r="B69" s="160">
        <v>85202</v>
      </c>
      <c r="C69" s="161" t="s">
        <v>192</v>
      </c>
      <c r="D69" s="78">
        <f t="shared" si="17"/>
        <v>2847175</v>
      </c>
      <c r="E69" s="93">
        <f t="shared" si="15"/>
        <v>2757175</v>
      </c>
      <c r="F69" s="78">
        <f>1648996+283787</f>
        <v>1932783</v>
      </c>
      <c r="G69" s="78">
        <f>864392-40000-7000</f>
        <v>817392</v>
      </c>
      <c r="H69" s="78">
        <v>0</v>
      </c>
      <c r="I69" s="78">
        <f>7000</f>
        <v>7000</v>
      </c>
      <c r="J69" s="78">
        <v>0</v>
      </c>
      <c r="K69" s="78">
        <v>0</v>
      </c>
      <c r="L69" s="422">
        <f>343500-293500+40000</f>
        <v>90000</v>
      </c>
    </row>
    <row r="70" spans="1:12" ht="15">
      <c r="A70" s="421"/>
      <c r="B70" s="160">
        <v>85204</v>
      </c>
      <c r="C70" s="161" t="s">
        <v>167</v>
      </c>
      <c r="D70" s="78">
        <f t="shared" si="17"/>
        <v>847456</v>
      </c>
      <c r="E70" s="93">
        <f t="shared" si="15"/>
        <v>847456</v>
      </c>
      <c r="F70" s="78">
        <v>0</v>
      </c>
      <c r="G70" s="78">
        <f>877456-30000-847456</f>
        <v>0</v>
      </c>
      <c r="H70" s="78">
        <v>0</v>
      </c>
      <c r="I70" s="78">
        <f>847456</f>
        <v>847456</v>
      </c>
      <c r="J70" s="78">
        <v>0</v>
      </c>
      <c r="K70" s="78">
        <v>0</v>
      </c>
      <c r="L70" s="422">
        <v>0</v>
      </c>
    </row>
    <row r="71" spans="1:12" ht="15">
      <c r="A71" s="125"/>
      <c r="B71" s="126">
        <v>85218</v>
      </c>
      <c r="C71" s="205" t="s">
        <v>168</v>
      </c>
      <c r="D71" s="88">
        <f t="shared" si="17"/>
        <v>312315</v>
      </c>
      <c r="E71" s="103">
        <f t="shared" si="15"/>
        <v>312315</v>
      </c>
      <c r="F71" s="88">
        <f>243551+44764-10000</f>
        <v>278315</v>
      </c>
      <c r="G71" s="88">
        <f>34000</f>
        <v>34000</v>
      </c>
      <c r="H71" s="88">
        <v>0</v>
      </c>
      <c r="I71" s="88">
        <v>0</v>
      </c>
      <c r="J71" s="88">
        <v>0</v>
      </c>
      <c r="K71" s="88">
        <v>0</v>
      </c>
      <c r="L71" s="425">
        <f>10000-10000</f>
        <v>0</v>
      </c>
    </row>
    <row r="72" spans="1:12" ht="45.75" thickBot="1">
      <c r="A72" s="421"/>
      <c r="B72" s="160">
        <v>85220</v>
      </c>
      <c r="C72" s="161" t="s">
        <v>271</v>
      </c>
      <c r="D72" s="78">
        <f t="shared" si="17"/>
        <v>42000</v>
      </c>
      <c r="E72" s="93">
        <f t="shared" si="15"/>
        <v>42000</v>
      </c>
      <c r="F72" s="78">
        <f>19000+4000+20400+3700-24100</f>
        <v>23000</v>
      </c>
      <c r="G72" s="78">
        <f>7000+311700-299700</f>
        <v>19000</v>
      </c>
      <c r="H72" s="78">
        <v>0</v>
      </c>
      <c r="I72" s="78">
        <v>0</v>
      </c>
      <c r="J72" s="78">
        <v>0</v>
      </c>
      <c r="K72" s="78">
        <v>0</v>
      </c>
      <c r="L72" s="422">
        <v>0</v>
      </c>
    </row>
    <row r="73" spans="1:12" ht="34.5" thickBot="1" thickTop="1">
      <c r="A73" s="272">
        <v>853</v>
      </c>
      <c r="B73" s="185"/>
      <c r="C73" s="187" t="s">
        <v>18</v>
      </c>
      <c r="D73" s="68">
        <f>E73+L73</f>
        <v>3811887</v>
      </c>
      <c r="E73" s="69">
        <f t="shared" si="15"/>
        <v>3811887</v>
      </c>
      <c r="F73" s="68">
        <f aca="true" t="shared" si="20" ref="F73:K73">F76+F74+F77+F75</f>
        <v>1405912</v>
      </c>
      <c r="G73" s="68">
        <f t="shared" si="20"/>
        <v>119533</v>
      </c>
      <c r="H73" s="68">
        <f t="shared" si="20"/>
        <v>57540</v>
      </c>
      <c r="I73" s="68">
        <f t="shared" si="20"/>
        <v>0</v>
      </c>
      <c r="J73" s="68">
        <f t="shared" si="20"/>
        <v>2228902</v>
      </c>
      <c r="K73" s="68">
        <f t="shared" si="20"/>
        <v>0</v>
      </c>
      <c r="L73" s="411">
        <f>L76+L74</f>
        <v>0</v>
      </c>
    </row>
    <row r="74" spans="1:12" ht="30.75" thickTop="1">
      <c r="A74" s="444"/>
      <c r="B74" s="402">
        <v>85311</v>
      </c>
      <c r="C74" s="403" t="s">
        <v>169</v>
      </c>
      <c r="D74" s="404">
        <f>SUM(L74+E74)</f>
        <v>57540</v>
      </c>
      <c r="E74" s="405">
        <f t="shared" si="15"/>
        <v>57540</v>
      </c>
      <c r="F74" s="404">
        <v>0</v>
      </c>
      <c r="G74" s="404">
        <v>0</v>
      </c>
      <c r="H74" s="404">
        <v>57540</v>
      </c>
      <c r="I74" s="404">
        <v>0</v>
      </c>
      <c r="J74" s="404">
        <v>0</v>
      </c>
      <c r="K74" s="404">
        <v>0</v>
      </c>
      <c r="L74" s="445">
        <v>0</v>
      </c>
    </row>
    <row r="75" spans="1:12" ht="26.25" customHeight="1">
      <c r="A75" s="437"/>
      <c r="B75" s="60">
        <v>85321</v>
      </c>
      <c r="C75" s="189" t="s">
        <v>306</v>
      </c>
      <c r="D75" s="73">
        <f>SUM(L75+E75)</f>
        <v>42165</v>
      </c>
      <c r="E75" s="74">
        <f t="shared" si="15"/>
        <v>42165</v>
      </c>
      <c r="F75" s="73">
        <f>44832-13000</f>
        <v>31832</v>
      </c>
      <c r="G75" s="73">
        <f>13333-3000</f>
        <v>10333</v>
      </c>
      <c r="H75" s="73">
        <v>0</v>
      </c>
      <c r="I75" s="73">
        <v>0</v>
      </c>
      <c r="J75" s="73">
        <v>0</v>
      </c>
      <c r="K75" s="73">
        <v>0</v>
      </c>
      <c r="L75" s="413">
        <v>0</v>
      </c>
    </row>
    <row r="76" spans="1:12" ht="15">
      <c r="A76" s="283"/>
      <c r="B76" s="59">
        <v>85333</v>
      </c>
      <c r="C76" s="206" t="s">
        <v>170</v>
      </c>
      <c r="D76" s="94">
        <f aca="true" t="shared" si="21" ref="D76:D94">E76+L76</f>
        <v>1483280</v>
      </c>
      <c r="E76" s="159">
        <f t="shared" si="15"/>
        <v>1483280</v>
      </c>
      <c r="F76" s="94">
        <f>1161080+213000</f>
        <v>1374080</v>
      </c>
      <c r="G76" s="94">
        <f>116200-7000</f>
        <v>109200</v>
      </c>
      <c r="H76" s="94">
        <v>0</v>
      </c>
      <c r="I76" s="94">
        <v>0</v>
      </c>
      <c r="J76" s="94">
        <v>0</v>
      </c>
      <c r="K76" s="94">
        <v>0</v>
      </c>
      <c r="L76" s="420">
        <v>0</v>
      </c>
    </row>
    <row r="77" spans="1:12" ht="14.25" customHeight="1" thickBot="1">
      <c r="A77" s="432"/>
      <c r="B77" s="165">
        <v>85395</v>
      </c>
      <c r="C77" s="166" t="s">
        <v>140</v>
      </c>
      <c r="D77" s="88">
        <f aca="true" t="shared" si="22" ref="D77:K77">SUM(D78:D81)</f>
        <v>2228902</v>
      </c>
      <c r="E77" s="103">
        <f>SUM(F76:K76)</f>
        <v>1483280</v>
      </c>
      <c r="F77" s="88">
        <f t="shared" si="22"/>
        <v>0</v>
      </c>
      <c r="G77" s="88">
        <f t="shared" si="22"/>
        <v>0</v>
      </c>
      <c r="H77" s="88">
        <f t="shared" si="22"/>
        <v>0</v>
      </c>
      <c r="I77" s="88">
        <f>SUM(I78:I81)</f>
        <v>0</v>
      </c>
      <c r="J77" s="88">
        <f t="shared" si="22"/>
        <v>2228902</v>
      </c>
      <c r="K77" s="88">
        <f t="shared" si="22"/>
        <v>0</v>
      </c>
      <c r="L77" s="425">
        <v>0</v>
      </c>
    </row>
    <row r="78" spans="1:12" ht="15" hidden="1">
      <c r="A78" s="433"/>
      <c r="B78" s="162"/>
      <c r="C78" s="406" t="s">
        <v>308</v>
      </c>
      <c r="D78" s="169">
        <f t="shared" si="21"/>
        <v>760650</v>
      </c>
      <c r="E78" s="103">
        <f aca="true" t="shared" si="23" ref="E78:E90">SUM(F78:K78)</f>
        <v>760650</v>
      </c>
      <c r="F78" s="78">
        <v>0</v>
      </c>
      <c r="G78" s="78">
        <v>0</v>
      </c>
      <c r="H78" s="78">
        <v>0</v>
      </c>
      <c r="I78" s="78">
        <v>0</v>
      </c>
      <c r="J78" s="78">
        <v>760650</v>
      </c>
      <c r="K78" s="78">
        <v>0</v>
      </c>
      <c r="L78" s="422">
        <v>0</v>
      </c>
    </row>
    <row r="79" spans="1:12" ht="15" hidden="1">
      <c r="A79" s="433"/>
      <c r="B79" s="162"/>
      <c r="C79" s="406" t="s">
        <v>309</v>
      </c>
      <c r="D79" s="169">
        <f t="shared" si="21"/>
        <v>878009</v>
      </c>
      <c r="E79" s="103">
        <f t="shared" si="23"/>
        <v>878009</v>
      </c>
      <c r="F79" s="78">
        <v>0</v>
      </c>
      <c r="G79" s="78">
        <v>0</v>
      </c>
      <c r="H79" s="78">
        <v>0</v>
      </c>
      <c r="I79" s="78">
        <v>0</v>
      </c>
      <c r="J79" s="78">
        <v>878009</v>
      </c>
      <c r="K79" s="78">
        <v>0</v>
      </c>
      <c r="L79" s="422">
        <v>0</v>
      </c>
    </row>
    <row r="80" spans="1:12" ht="15" hidden="1">
      <c r="A80" s="433"/>
      <c r="B80" s="162"/>
      <c r="C80" s="406" t="s">
        <v>310</v>
      </c>
      <c r="D80" s="169">
        <f t="shared" si="21"/>
        <v>460324</v>
      </c>
      <c r="E80" s="103">
        <f t="shared" si="23"/>
        <v>460324</v>
      </c>
      <c r="F80" s="78">
        <v>0</v>
      </c>
      <c r="G80" s="78">
        <v>0</v>
      </c>
      <c r="H80" s="78">
        <v>0</v>
      </c>
      <c r="I80" s="78">
        <v>0</v>
      </c>
      <c r="J80" s="78">
        <v>460324</v>
      </c>
      <c r="K80" s="78">
        <v>0</v>
      </c>
      <c r="L80" s="422">
        <v>0</v>
      </c>
    </row>
    <row r="81" spans="1:12" ht="15.75" hidden="1" thickBot="1">
      <c r="A81" s="433"/>
      <c r="B81" s="162"/>
      <c r="C81" s="163" t="s">
        <v>305</v>
      </c>
      <c r="D81" s="169">
        <f t="shared" si="21"/>
        <v>129919</v>
      </c>
      <c r="E81" s="103">
        <f t="shared" si="23"/>
        <v>129919</v>
      </c>
      <c r="F81" s="94">
        <v>0</v>
      </c>
      <c r="G81" s="94">
        <v>0</v>
      </c>
      <c r="H81" s="94">
        <v>0</v>
      </c>
      <c r="I81" s="94">
        <v>0</v>
      </c>
      <c r="J81" s="94">
        <v>129919</v>
      </c>
      <c r="K81" s="94">
        <v>0</v>
      </c>
      <c r="L81" s="420">
        <v>0</v>
      </c>
    </row>
    <row r="82" spans="1:12" ht="18" thickBot="1" thickTop="1">
      <c r="A82" s="272">
        <v>854</v>
      </c>
      <c r="B82" s="185"/>
      <c r="C82" s="187" t="s">
        <v>14</v>
      </c>
      <c r="D82" s="68">
        <f t="shared" si="21"/>
        <v>2807338</v>
      </c>
      <c r="E82" s="69">
        <f t="shared" si="23"/>
        <v>2807338</v>
      </c>
      <c r="F82" s="68">
        <f aca="true" t="shared" si="24" ref="F82:L82">F83+F84+F85+F86</f>
        <v>2170029</v>
      </c>
      <c r="G82" s="68">
        <f t="shared" si="24"/>
        <v>633309</v>
      </c>
      <c r="H82" s="68">
        <f t="shared" si="24"/>
        <v>0</v>
      </c>
      <c r="I82" s="68">
        <f>I83+I84+I85+I86</f>
        <v>4000</v>
      </c>
      <c r="J82" s="68">
        <f t="shared" si="24"/>
        <v>0</v>
      </c>
      <c r="K82" s="68">
        <f t="shared" si="24"/>
        <v>0</v>
      </c>
      <c r="L82" s="411">
        <f t="shared" si="24"/>
        <v>0</v>
      </c>
    </row>
    <row r="83" spans="1:12" ht="15.75" thickTop="1">
      <c r="A83" s="119"/>
      <c r="B83" s="60">
        <v>85403</v>
      </c>
      <c r="C83" s="189" t="s">
        <v>193</v>
      </c>
      <c r="D83" s="73">
        <f t="shared" si="21"/>
        <v>1571103</v>
      </c>
      <c r="E83" s="74">
        <f t="shared" si="23"/>
        <v>1571103</v>
      </c>
      <c r="F83" s="73">
        <f>1216483</f>
        <v>1216483</v>
      </c>
      <c r="G83" s="73">
        <f>354620-3500</f>
        <v>351120</v>
      </c>
      <c r="H83" s="73">
        <v>0</v>
      </c>
      <c r="I83" s="73">
        <f>3500</f>
        <v>3500</v>
      </c>
      <c r="J83" s="73">
        <v>0</v>
      </c>
      <c r="K83" s="73">
        <v>0</v>
      </c>
      <c r="L83" s="413">
        <f>0</f>
        <v>0</v>
      </c>
    </row>
    <row r="84" spans="1:12" ht="30">
      <c r="A84" s="122"/>
      <c r="B84" s="123">
        <v>85406</v>
      </c>
      <c r="C84" s="204" t="s">
        <v>194</v>
      </c>
      <c r="D84" s="78">
        <f t="shared" si="21"/>
        <v>564789</v>
      </c>
      <c r="E84" s="93">
        <f t="shared" si="23"/>
        <v>564789</v>
      </c>
      <c r="F84" s="78">
        <f>506944</f>
        <v>506944</v>
      </c>
      <c r="G84" s="78">
        <f>57845-500</f>
        <v>57345</v>
      </c>
      <c r="H84" s="78">
        <v>0</v>
      </c>
      <c r="I84" s="78">
        <f>500</f>
        <v>500</v>
      </c>
      <c r="J84" s="78">
        <v>0</v>
      </c>
      <c r="K84" s="78">
        <v>0</v>
      </c>
      <c r="L84" s="422">
        <v>0</v>
      </c>
    </row>
    <row r="85" spans="1:12" ht="15">
      <c r="A85" s="122"/>
      <c r="B85" s="123">
        <v>85407</v>
      </c>
      <c r="C85" s="204" t="s">
        <v>195</v>
      </c>
      <c r="D85" s="78">
        <f t="shared" si="21"/>
        <v>279240</v>
      </c>
      <c r="E85" s="93">
        <f t="shared" si="23"/>
        <v>279240</v>
      </c>
      <c r="F85" s="78">
        <f>207970+14580</f>
        <v>222550</v>
      </c>
      <c r="G85" s="78">
        <f>56690</f>
        <v>56690</v>
      </c>
      <c r="H85" s="78">
        <v>0</v>
      </c>
      <c r="I85" s="78">
        <v>0</v>
      </c>
      <c r="J85" s="78">
        <v>0</v>
      </c>
      <c r="K85" s="78">
        <v>0</v>
      </c>
      <c r="L85" s="422">
        <v>0</v>
      </c>
    </row>
    <row r="86" spans="1:12" ht="15.75" thickBot="1">
      <c r="A86" s="125"/>
      <c r="B86" s="126">
        <v>85410</v>
      </c>
      <c r="C86" s="205" t="s">
        <v>108</v>
      </c>
      <c r="D86" s="88">
        <f t="shared" si="21"/>
        <v>392206</v>
      </c>
      <c r="E86" s="103">
        <f t="shared" si="23"/>
        <v>392206</v>
      </c>
      <c r="F86" s="88">
        <f>189299+34753</f>
        <v>224052</v>
      </c>
      <c r="G86" s="88">
        <f>168154</f>
        <v>168154</v>
      </c>
      <c r="H86" s="88">
        <v>0</v>
      </c>
      <c r="I86" s="88">
        <v>0</v>
      </c>
      <c r="J86" s="88">
        <v>0</v>
      </c>
      <c r="K86" s="88">
        <v>0</v>
      </c>
      <c r="L86" s="425">
        <f>0</f>
        <v>0</v>
      </c>
    </row>
    <row r="87" spans="1:12" ht="34.5" thickBot="1" thickTop="1">
      <c r="A87" s="434">
        <v>900</v>
      </c>
      <c r="B87" s="177"/>
      <c r="C87" s="178" t="s">
        <v>300</v>
      </c>
      <c r="D87" s="68">
        <f t="shared" si="21"/>
        <v>79500</v>
      </c>
      <c r="E87" s="69">
        <f t="shared" si="23"/>
        <v>39500</v>
      </c>
      <c r="F87" s="68">
        <f>F88+F89</f>
        <v>0</v>
      </c>
      <c r="G87" s="68">
        <f aca="true" t="shared" si="25" ref="G87:L87">SUM(G88)</f>
        <v>39500</v>
      </c>
      <c r="H87" s="68">
        <f t="shared" si="25"/>
        <v>0</v>
      </c>
      <c r="I87" s="68">
        <f t="shared" si="25"/>
        <v>0</v>
      </c>
      <c r="J87" s="68">
        <f t="shared" si="25"/>
        <v>0</v>
      </c>
      <c r="K87" s="68">
        <f t="shared" si="25"/>
        <v>0</v>
      </c>
      <c r="L87" s="411">
        <f t="shared" si="25"/>
        <v>40000</v>
      </c>
    </row>
    <row r="88" spans="1:12" ht="16.5" thickBot="1" thickTop="1">
      <c r="A88" s="412"/>
      <c r="B88" s="152">
        <v>90095</v>
      </c>
      <c r="C88" s="153" t="s">
        <v>140</v>
      </c>
      <c r="D88" s="73">
        <f t="shared" si="21"/>
        <v>79500</v>
      </c>
      <c r="E88" s="74">
        <f t="shared" si="23"/>
        <v>39500</v>
      </c>
      <c r="F88" s="73">
        <v>0</v>
      </c>
      <c r="G88" s="73">
        <f>69000-29500</f>
        <v>39500</v>
      </c>
      <c r="H88" s="73"/>
      <c r="I88" s="73"/>
      <c r="J88" s="73">
        <v>0</v>
      </c>
      <c r="K88" s="73">
        <v>0</v>
      </c>
      <c r="L88" s="413">
        <f>50000-10000</f>
        <v>40000</v>
      </c>
    </row>
    <row r="89" spans="1:12" ht="34.5" thickBot="1" thickTop="1">
      <c r="A89" s="434">
        <v>921</v>
      </c>
      <c r="B89" s="177"/>
      <c r="C89" s="178" t="s">
        <v>25</v>
      </c>
      <c r="D89" s="68">
        <f t="shared" si="21"/>
        <v>65000</v>
      </c>
      <c r="E89" s="69">
        <f t="shared" si="23"/>
        <v>45000</v>
      </c>
      <c r="F89" s="68">
        <f aca="true" t="shared" si="26" ref="F89:K89">F90+F92</f>
        <v>0</v>
      </c>
      <c r="G89" s="68">
        <f t="shared" si="26"/>
        <v>20000</v>
      </c>
      <c r="H89" s="68">
        <f t="shared" si="26"/>
        <v>25000</v>
      </c>
      <c r="I89" s="68">
        <f t="shared" si="26"/>
        <v>0</v>
      </c>
      <c r="J89" s="68">
        <f t="shared" si="26"/>
        <v>0</v>
      </c>
      <c r="K89" s="68">
        <f t="shared" si="26"/>
        <v>0</v>
      </c>
      <c r="L89" s="411">
        <f>SUM(L90:L92)</f>
        <v>20000</v>
      </c>
    </row>
    <row r="90" spans="1:12" ht="15.75" thickTop="1">
      <c r="A90" s="412"/>
      <c r="B90" s="152">
        <v>92116</v>
      </c>
      <c r="C90" s="153" t="s">
        <v>174</v>
      </c>
      <c r="D90" s="73">
        <f t="shared" si="21"/>
        <v>25000</v>
      </c>
      <c r="E90" s="74">
        <f t="shared" si="23"/>
        <v>25000</v>
      </c>
      <c r="F90" s="73">
        <v>0</v>
      </c>
      <c r="G90" s="73">
        <v>0</v>
      </c>
      <c r="H90" s="73">
        <v>25000</v>
      </c>
      <c r="I90" s="73">
        <v>0</v>
      </c>
      <c r="J90" s="73">
        <v>0</v>
      </c>
      <c r="K90" s="73">
        <v>0</v>
      </c>
      <c r="L90" s="413">
        <v>0</v>
      </c>
    </row>
    <row r="91" spans="1:12" ht="15">
      <c r="A91" s="419"/>
      <c r="B91" s="157">
        <v>92120</v>
      </c>
      <c r="C91" s="158" t="s">
        <v>314</v>
      </c>
      <c r="D91" s="94">
        <f>SUM(L91+E91)</f>
        <v>20000</v>
      </c>
      <c r="E91" s="74">
        <f>SUM(G91:K91)</f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420">
        <f>48062-28062</f>
        <v>20000</v>
      </c>
    </row>
    <row r="92" spans="1:12" ht="15.75" thickBot="1">
      <c r="A92" s="424"/>
      <c r="B92" s="165">
        <v>92195</v>
      </c>
      <c r="C92" s="166" t="s">
        <v>140</v>
      </c>
      <c r="D92" s="88">
        <f t="shared" si="21"/>
        <v>20000</v>
      </c>
      <c r="E92" s="103">
        <f>SUM(F92:K92)</f>
        <v>20000</v>
      </c>
      <c r="F92" s="88">
        <v>0</v>
      </c>
      <c r="G92" s="88">
        <v>20000</v>
      </c>
      <c r="H92" s="88">
        <v>0</v>
      </c>
      <c r="I92" s="88">
        <v>0</v>
      </c>
      <c r="J92" s="88">
        <v>0</v>
      </c>
      <c r="K92" s="88">
        <v>0</v>
      </c>
      <c r="L92" s="425">
        <v>0</v>
      </c>
    </row>
    <row r="93" spans="1:12" ht="18" thickBot="1" thickTop="1">
      <c r="A93" s="410">
        <v>926</v>
      </c>
      <c r="B93" s="150"/>
      <c r="C93" s="154" t="s">
        <v>313</v>
      </c>
      <c r="D93" s="68">
        <f t="shared" si="21"/>
        <v>95000</v>
      </c>
      <c r="E93" s="69">
        <f>SUM(F93:K93)</f>
        <v>95000</v>
      </c>
      <c r="F93" s="68">
        <f aca="true" t="shared" si="27" ref="F93:K93">F94</f>
        <v>0</v>
      </c>
      <c r="G93" s="68">
        <f t="shared" si="27"/>
        <v>95000</v>
      </c>
      <c r="H93" s="68">
        <f t="shared" si="27"/>
        <v>0</v>
      </c>
      <c r="I93" s="68">
        <f t="shared" si="27"/>
        <v>0</v>
      </c>
      <c r="J93" s="68">
        <f t="shared" si="27"/>
        <v>0</v>
      </c>
      <c r="K93" s="68">
        <f t="shared" si="27"/>
        <v>0</v>
      </c>
      <c r="L93" s="411">
        <f>L838</f>
        <v>0</v>
      </c>
    </row>
    <row r="94" spans="1:12" ht="16.5" thickBot="1" thickTop="1">
      <c r="A94" s="412"/>
      <c r="B94" s="152">
        <v>92695</v>
      </c>
      <c r="C94" s="153" t="s">
        <v>140</v>
      </c>
      <c r="D94" s="73">
        <f t="shared" si="21"/>
        <v>95000</v>
      </c>
      <c r="E94" s="74">
        <f>SUM(F94:K94)</f>
        <v>95000</v>
      </c>
      <c r="F94" s="73">
        <v>0</v>
      </c>
      <c r="G94" s="73">
        <f>115000-20000</f>
        <v>95000</v>
      </c>
      <c r="H94" s="73">
        <v>0</v>
      </c>
      <c r="I94" s="73">
        <v>0</v>
      </c>
      <c r="J94" s="73">
        <v>0</v>
      </c>
      <c r="K94" s="73">
        <v>0</v>
      </c>
      <c r="L94" s="413">
        <v>0</v>
      </c>
    </row>
    <row r="95" spans="1:12" ht="17.25" thickBot="1">
      <c r="A95" s="552" t="s">
        <v>175</v>
      </c>
      <c r="B95" s="553"/>
      <c r="C95" s="553"/>
      <c r="D95" s="207">
        <f aca="true" t="shared" si="28" ref="D95:L95">D82+D64+D41+D36+D34+D27+D18+D16+D32+D73+D93+D89+D20+D22+D24+D62+D14+D87</f>
        <v>33634109</v>
      </c>
      <c r="E95" s="208">
        <f t="shared" si="28"/>
        <v>32614109</v>
      </c>
      <c r="F95" s="207">
        <f t="shared" si="28"/>
        <v>18533819</v>
      </c>
      <c r="G95" s="207">
        <f t="shared" si="28"/>
        <v>7190227</v>
      </c>
      <c r="H95" s="207">
        <f t="shared" si="28"/>
        <v>2635904</v>
      </c>
      <c r="I95" s="207">
        <f t="shared" si="28"/>
        <v>1175257</v>
      </c>
      <c r="J95" s="207">
        <f t="shared" si="28"/>
        <v>2228902</v>
      </c>
      <c r="K95" s="207">
        <f t="shared" si="28"/>
        <v>850000</v>
      </c>
      <c r="L95" s="446">
        <f t="shared" si="28"/>
        <v>1020000</v>
      </c>
    </row>
    <row r="97" spans="4:5" ht="12.75">
      <c r="D97" s="342"/>
      <c r="E97" s="342"/>
    </row>
  </sheetData>
  <sheetProtection/>
  <mergeCells count="16">
    <mergeCell ref="E10:K10"/>
    <mergeCell ref="L10:L12"/>
    <mergeCell ref="E11:E12"/>
    <mergeCell ref="A95:C95"/>
    <mergeCell ref="J11:J12"/>
    <mergeCell ref="K11:K12"/>
    <mergeCell ref="A6:L6"/>
    <mergeCell ref="A7:L7"/>
    <mergeCell ref="A9:A12"/>
    <mergeCell ref="B9:B12"/>
    <mergeCell ref="C9:C12"/>
    <mergeCell ref="D9:D12"/>
    <mergeCell ref="F11:G11"/>
    <mergeCell ref="H11:H12"/>
    <mergeCell ref="I11:I12"/>
    <mergeCell ref="E9:L9"/>
  </mergeCells>
  <printOptions horizontalCentered="1"/>
  <pageMargins left="0.4330708661417323" right="0.15748031496062992" top="0.5511811023622047" bottom="0.7874015748031497" header="1.1023622047244095" footer="0.5118110236220472"/>
  <pageSetup horizontalDpi="600" verticalDpi="600" orientation="landscape" paperSize="9" scale="75" r:id="rId3"/>
  <rowBreaks count="3" manualBreakCount="3">
    <brk id="29" max="10" man="1"/>
    <brk id="72" max="11" man="1"/>
    <brk id="9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9.25390625" style="0" bestFit="1" customWidth="1"/>
    <col min="2" max="2" width="10.75390625" style="0" customWidth="1"/>
    <col min="3" max="3" width="45.75390625" style="0" bestFit="1" customWidth="1"/>
    <col min="4" max="4" width="13.125" style="0" customWidth="1"/>
    <col min="5" max="5" width="11.875" style="0" bestFit="1" customWidth="1"/>
    <col min="6" max="6" width="13.625" style="0" customWidth="1"/>
    <col min="7" max="8" width="12.375" style="0" customWidth="1"/>
    <col min="9" max="9" width="12.75390625" style="0" customWidth="1"/>
    <col min="10" max="10" width="9.125" style="15" customWidth="1"/>
  </cols>
  <sheetData>
    <row r="1" spans="1:9" ht="15">
      <c r="A1" s="111"/>
      <c r="B1" s="111"/>
      <c r="C1" s="111"/>
      <c r="D1" s="111"/>
      <c r="E1" s="111"/>
      <c r="F1" s="111"/>
      <c r="G1" s="111" t="s">
        <v>196</v>
      </c>
      <c r="H1" s="111"/>
      <c r="I1" s="111"/>
    </row>
    <row r="2" spans="1:9" ht="15">
      <c r="A2" s="111"/>
      <c r="B2" s="111"/>
      <c r="C2" s="111"/>
      <c r="D2" s="111"/>
      <c r="E2" s="111"/>
      <c r="F2" s="111"/>
      <c r="G2" s="29" t="s">
        <v>323</v>
      </c>
      <c r="H2" s="29"/>
      <c r="I2" s="111"/>
    </row>
    <row r="3" spans="1:9" ht="12.75" customHeight="1">
      <c r="A3" s="111"/>
      <c r="B3" s="111"/>
      <c r="C3" s="111"/>
      <c r="D3" s="111"/>
      <c r="E3" s="111"/>
      <c r="F3" s="111"/>
      <c r="G3" s="29" t="s">
        <v>21</v>
      </c>
      <c r="H3" s="29"/>
      <c r="I3" s="111"/>
    </row>
    <row r="4" spans="1:9" ht="15.75" customHeight="1">
      <c r="A4" s="111"/>
      <c r="B4" s="111"/>
      <c r="C4" s="111"/>
      <c r="D4" s="111"/>
      <c r="E4" s="111"/>
      <c r="F4" s="111"/>
      <c r="G4" s="30" t="s">
        <v>324</v>
      </c>
      <c r="H4" s="30"/>
      <c r="I4" s="111"/>
    </row>
    <row r="5" spans="1:9" ht="15.75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8" customHeight="1">
      <c r="A6" s="527" t="s">
        <v>126</v>
      </c>
      <c r="B6" s="506"/>
      <c r="C6" s="506"/>
      <c r="D6" s="506"/>
      <c r="E6" s="506"/>
      <c r="F6" s="506"/>
      <c r="G6" s="506"/>
      <c r="H6" s="506"/>
      <c r="I6" s="506"/>
    </row>
    <row r="7" spans="1:9" ht="16.5" customHeight="1">
      <c r="A7" s="527" t="s">
        <v>197</v>
      </c>
      <c r="B7" s="506"/>
      <c r="C7" s="506"/>
      <c r="D7" s="506"/>
      <c r="E7" s="506"/>
      <c r="F7" s="506"/>
      <c r="G7" s="506"/>
      <c r="H7" s="506"/>
      <c r="I7" s="506"/>
    </row>
    <row r="8" spans="1:9" ht="18">
      <c r="A8" s="527" t="s">
        <v>289</v>
      </c>
      <c r="B8" s="506"/>
      <c r="C8" s="506"/>
      <c r="D8" s="506"/>
      <c r="E8" s="506"/>
      <c r="F8" s="506"/>
      <c r="G8" s="506"/>
      <c r="H8" s="506"/>
      <c r="I8" s="506"/>
    </row>
    <row r="9" spans="1:9" ht="15.75" thickBot="1">
      <c r="A9" s="111"/>
      <c r="B9" s="111"/>
      <c r="C9" s="111"/>
      <c r="D9" s="111"/>
      <c r="E9" s="111"/>
      <c r="F9" s="111"/>
      <c r="G9" s="111"/>
      <c r="H9" s="111"/>
      <c r="I9" s="181" t="s">
        <v>31</v>
      </c>
    </row>
    <row r="10" spans="1:9" ht="13.5" customHeight="1" thickBot="1">
      <c r="A10" s="561" t="s">
        <v>0</v>
      </c>
      <c r="B10" s="561" t="s">
        <v>127</v>
      </c>
      <c r="C10" s="564" t="s">
        <v>35</v>
      </c>
      <c r="D10" s="564" t="s">
        <v>128</v>
      </c>
      <c r="E10" s="569" t="s">
        <v>177</v>
      </c>
      <c r="F10" s="570"/>
      <c r="G10" s="570"/>
      <c r="H10" s="570"/>
      <c r="I10" s="571"/>
    </row>
    <row r="11" spans="1:9" ht="14.25" thickBot="1">
      <c r="A11" s="562"/>
      <c r="B11" s="562"/>
      <c r="C11" s="565"/>
      <c r="D11" s="565"/>
      <c r="E11" s="576" t="s">
        <v>320</v>
      </c>
      <c r="F11" s="577"/>
      <c r="G11" s="577"/>
      <c r="H11" s="578"/>
      <c r="I11" s="572" t="s">
        <v>130</v>
      </c>
    </row>
    <row r="12" spans="1:9" ht="12.75" customHeight="1">
      <c r="A12" s="562"/>
      <c r="B12" s="562"/>
      <c r="C12" s="565"/>
      <c r="D12" s="565"/>
      <c r="E12" s="575" t="s">
        <v>15</v>
      </c>
      <c r="F12" s="557" t="s">
        <v>318</v>
      </c>
      <c r="G12" s="558"/>
      <c r="H12" s="579" t="s">
        <v>317</v>
      </c>
      <c r="I12" s="573"/>
    </row>
    <row r="13" spans="1:9" ht="13.5" customHeight="1" thickBot="1">
      <c r="A13" s="562"/>
      <c r="B13" s="562"/>
      <c r="C13" s="565"/>
      <c r="D13" s="565"/>
      <c r="E13" s="573"/>
      <c r="F13" s="559"/>
      <c r="G13" s="560"/>
      <c r="H13" s="580"/>
      <c r="I13" s="573"/>
    </row>
    <row r="14" spans="1:9" ht="77.25" customHeight="1" thickBot="1">
      <c r="A14" s="563"/>
      <c r="B14" s="563"/>
      <c r="C14" s="566"/>
      <c r="D14" s="566"/>
      <c r="E14" s="574"/>
      <c r="F14" s="448" t="s">
        <v>179</v>
      </c>
      <c r="G14" s="448" t="s">
        <v>319</v>
      </c>
      <c r="H14" s="581"/>
      <c r="I14" s="574"/>
    </row>
    <row r="15" spans="1:9" ht="15" thickBot="1">
      <c r="A15" s="209" t="s">
        <v>198</v>
      </c>
      <c r="B15" s="210" t="s">
        <v>199</v>
      </c>
      <c r="C15" s="211" t="s">
        <v>200</v>
      </c>
      <c r="D15" s="212" t="s">
        <v>201</v>
      </c>
      <c r="E15" s="213" t="s">
        <v>202</v>
      </c>
      <c r="F15" s="211" t="s">
        <v>203</v>
      </c>
      <c r="G15" s="212" t="s">
        <v>204</v>
      </c>
      <c r="H15" s="211" t="s">
        <v>205</v>
      </c>
      <c r="I15" s="214" t="s">
        <v>321</v>
      </c>
    </row>
    <row r="16" spans="1:9" ht="18" thickBot="1" thickTop="1">
      <c r="A16" s="215" t="s">
        <v>43</v>
      </c>
      <c r="B16" s="216"/>
      <c r="C16" s="217" t="s">
        <v>5</v>
      </c>
      <c r="D16" s="218">
        <f>D17+I16</f>
        <v>80000</v>
      </c>
      <c r="E16" s="219">
        <f aca="true" t="shared" si="0" ref="E16:E34">SUM(F16:H16)</f>
        <v>80000</v>
      </c>
      <c r="F16" s="453">
        <f>F17</f>
        <v>0</v>
      </c>
      <c r="G16" s="188">
        <f>G17</f>
        <v>80000</v>
      </c>
      <c r="H16" s="220">
        <f>H17</f>
        <v>0</v>
      </c>
      <c r="I16" s="219">
        <f>I17</f>
        <v>0</v>
      </c>
    </row>
    <row r="17" spans="1:9" ht="31.5" thickBot="1" thickTop="1">
      <c r="A17" s="221"/>
      <c r="B17" s="222" t="s">
        <v>133</v>
      </c>
      <c r="C17" s="223" t="s">
        <v>134</v>
      </c>
      <c r="D17" s="224">
        <f>E17+I17</f>
        <v>80000</v>
      </c>
      <c r="E17" s="225">
        <f t="shared" si="0"/>
        <v>80000</v>
      </c>
      <c r="F17" s="454">
        <v>0</v>
      </c>
      <c r="G17" s="73">
        <v>80000</v>
      </c>
      <c r="H17" s="226">
        <v>0</v>
      </c>
      <c r="I17" s="225">
        <v>0</v>
      </c>
    </row>
    <row r="18" spans="1:9" ht="21.75" customHeight="1" thickBot="1" thickTop="1">
      <c r="A18" s="227">
        <v>700</v>
      </c>
      <c r="B18" s="227"/>
      <c r="C18" s="228" t="s">
        <v>8</v>
      </c>
      <c r="D18" s="229">
        <f>D19+I19</f>
        <v>10000</v>
      </c>
      <c r="E18" s="230">
        <f t="shared" si="0"/>
        <v>10000</v>
      </c>
      <c r="F18" s="455">
        <v>0</v>
      </c>
      <c r="G18" s="68">
        <f>G19</f>
        <v>10000</v>
      </c>
      <c r="H18" s="231">
        <f>H19</f>
        <v>0</v>
      </c>
      <c r="I18" s="230">
        <v>0</v>
      </c>
    </row>
    <row r="19" spans="1:9" ht="16.5" thickBot="1" thickTop="1">
      <c r="A19" s="232"/>
      <c r="B19" s="232">
        <v>70005</v>
      </c>
      <c r="C19" s="233" t="s">
        <v>49</v>
      </c>
      <c r="D19" s="234">
        <f aca="true" t="shared" si="1" ref="D19:D24">E19+I19</f>
        <v>10000</v>
      </c>
      <c r="E19" s="235">
        <f t="shared" si="0"/>
        <v>10000</v>
      </c>
      <c r="F19" s="456">
        <v>0</v>
      </c>
      <c r="G19" s="94">
        <f>10000</f>
        <v>10000</v>
      </c>
      <c r="H19" s="236">
        <v>0</v>
      </c>
      <c r="I19" s="235">
        <v>0</v>
      </c>
    </row>
    <row r="20" spans="1:9" ht="18" thickBot="1" thickTop="1">
      <c r="A20" s="227">
        <v>710</v>
      </c>
      <c r="B20" s="227"/>
      <c r="C20" s="228" t="s">
        <v>206</v>
      </c>
      <c r="D20" s="229">
        <f t="shared" si="1"/>
        <v>338000</v>
      </c>
      <c r="E20" s="230">
        <f t="shared" si="0"/>
        <v>338000</v>
      </c>
      <c r="F20" s="455">
        <f>F21+F22+F23</f>
        <v>219100</v>
      </c>
      <c r="G20" s="68">
        <f>G21+G22+G23</f>
        <v>118900</v>
      </c>
      <c r="H20" s="231">
        <f>H21+H22+H23</f>
        <v>0</v>
      </c>
      <c r="I20" s="230">
        <f>I21+I22+I23</f>
        <v>0</v>
      </c>
    </row>
    <row r="21" spans="1:9" ht="28.5" customHeight="1" thickTop="1">
      <c r="A21" s="221"/>
      <c r="B21" s="221">
        <v>71013</v>
      </c>
      <c r="C21" s="223" t="s">
        <v>52</v>
      </c>
      <c r="D21" s="224">
        <f t="shared" si="1"/>
        <v>87000</v>
      </c>
      <c r="E21" s="225">
        <f t="shared" si="0"/>
        <v>87000</v>
      </c>
      <c r="F21" s="454">
        <v>0</v>
      </c>
      <c r="G21" s="73">
        <f>87000</f>
        <v>87000</v>
      </c>
      <c r="H21" s="226">
        <v>0</v>
      </c>
      <c r="I21" s="225">
        <v>0</v>
      </c>
    </row>
    <row r="22" spans="1:9" ht="15">
      <c r="A22" s="237"/>
      <c r="B22" s="237">
        <v>71014</v>
      </c>
      <c r="C22" s="238" t="s">
        <v>53</v>
      </c>
      <c r="D22" s="239">
        <f t="shared" si="1"/>
        <v>22000</v>
      </c>
      <c r="E22" s="240">
        <f t="shared" si="0"/>
        <v>22000</v>
      </c>
      <c r="F22" s="457">
        <v>0</v>
      </c>
      <c r="G22" s="78">
        <f>22000</f>
        <v>22000</v>
      </c>
      <c r="H22" s="241">
        <v>0</v>
      </c>
      <c r="I22" s="240">
        <v>0</v>
      </c>
    </row>
    <row r="23" spans="1:9" ht="15.75" thickBot="1">
      <c r="A23" s="242"/>
      <c r="B23" s="242">
        <v>71015</v>
      </c>
      <c r="C23" s="243" t="s">
        <v>142</v>
      </c>
      <c r="D23" s="244">
        <f t="shared" si="1"/>
        <v>229000</v>
      </c>
      <c r="E23" s="245">
        <f t="shared" si="0"/>
        <v>229000</v>
      </c>
      <c r="F23" s="458">
        <f>185600+33500</f>
        <v>219100</v>
      </c>
      <c r="G23" s="88">
        <f>9900</f>
        <v>9900</v>
      </c>
      <c r="H23" s="247">
        <v>0</v>
      </c>
      <c r="I23" s="245">
        <v>0</v>
      </c>
    </row>
    <row r="24" spans="1:9" ht="18" thickBot="1" thickTop="1">
      <c r="A24" s="227">
        <v>750</v>
      </c>
      <c r="B24" s="227"/>
      <c r="C24" s="228" t="s">
        <v>55</v>
      </c>
      <c r="D24" s="229">
        <f t="shared" si="1"/>
        <v>126200</v>
      </c>
      <c r="E24" s="230">
        <f t="shared" si="0"/>
        <v>126200</v>
      </c>
      <c r="F24" s="459">
        <f>F25+F26</f>
        <v>104400</v>
      </c>
      <c r="G24" s="68">
        <f>G25+G26</f>
        <v>18800</v>
      </c>
      <c r="H24" s="231">
        <f>H25+H26</f>
        <v>3000</v>
      </c>
      <c r="I24" s="230">
        <f>I25+I26</f>
        <v>0</v>
      </c>
    </row>
    <row r="25" spans="1:9" ht="15.75" customHeight="1" thickTop="1">
      <c r="A25" s="221"/>
      <c r="B25" s="221">
        <v>75011</v>
      </c>
      <c r="C25" s="223" t="s">
        <v>56</v>
      </c>
      <c r="D25" s="224">
        <f>I25+E25</f>
        <v>103200</v>
      </c>
      <c r="E25" s="225">
        <f t="shared" si="0"/>
        <v>103200</v>
      </c>
      <c r="F25" s="460">
        <f>103200</f>
        <v>103200</v>
      </c>
      <c r="G25" s="73">
        <f>0</f>
        <v>0</v>
      </c>
      <c r="H25" s="226">
        <f>0</f>
        <v>0</v>
      </c>
      <c r="I25" s="225">
        <v>0</v>
      </c>
    </row>
    <row r="26" spans="1:9" ht="15.75" thickBot="1">
      <c r="A26" s="248"/>
      <c r="B26" s="248">
        <v>75045</v>
      </c>
      <c r="C26" s="89" t="s">
        <v>276</v>
      </c>
      <c r="D26" s="246">
        <f>I26+E26</f>
        <v>23000</v>
      </c>
      <c r="E26" s="245">
        <f t="shared" si="0"/>
        <v>23000</v>
      </c>
      <c r="F26" s="458">
        <f>1200</f>
        <v>1200</v>
      </c>
      <c r="G26" s="88">
        <f>21800-3000</f>
        <v>18800</v>
      </c>
      <c r="H26" s="247">
        <f>3000</f>
        <v>3000</v>
      </c>
      <c r="I26" s="245">
        <v>0</v>
      </c>
    </row>
    <row r="27" spans="1:9" ht="34.5" thickBot="1" thickTop="1">
      <c r="A27" s="227">
        <v>754</v>
      </c>
      <c r="B27" s="227"/>
      <c r="C27" s="228" t="s">
        <v>10</v>
      </c>
      <c r="D27" s="229">
        <f aca="true" t="shared" si="2" ref="D27:D34">E27+I27</f>
        <v>2897000</v>
      </c>
      <c r="E27" s="230">
        <f t="shared" si="0"/>
        <v>2897000</v>
      </c>
      <c r="F27" s="455">
        <f>F28</f>
        <v>2441263</v>
      </c>
      <c r="G27" s="188">
        <f>G28</f>
        <v>265737</v>
      </c>
      <c r="H27" s="450">
        <f>H28</f>
        <v>190000</v>
      </c>
      <c r="I27" s="230">
        <f>I28</f>
        <v>0</v>
      </c>
    </row>
    <row r="28" spans="1:9" ht="18" thickBot="1" thickTop="1">
      <c r="A28" s="249"/>
      <c r="B28" s="221">
        <v>75411</v>
      </c>
      <c r="C28" s="223" t="s">
        <v>71</v>
      </c>
      <c r="D28" s="224">
        <f t="shared" si="2"/>
        <v>2897000</v>
      </c>
      <c r="E28" s="225">
        <f t="shared" si="0"/>
        <v>2897000</v>
      </c>
      <c r="F28" s="460">
        <f>2429213+12050</f>
        <v>2441263</v>
      </c>
      <c r="G28" s="73">
        <f>455737-190000</f>
        <v>265737</v>
      </c>
      <c r="H28" s="226">
        <f>190000</f>
        <v>190000</v>
      </c>
      <c r="I28" s="225">
        <v>0</v>
      </c>
    </row>
    <row r="29" spans="1:9" ht="18" thickBot="1" thickTop="1">
      <c r="A29" s="227">
        <v>851</v>
      </c>
      <c r="B29" s="227"/>
      <c r="C29" s="250" t="s">
        <v>13</v>
      </c>
      <c r="D29" s="251">
        <f t="shared" si="2"/>
        <v>1672000</v>
      </c>
      <c r="E29" s="230">
        <f t="shared" si="0"/>
        <v>1672000</v>
      </c>
      <c r="F29" s="455">
        <f>F30</f>
        <v>0</v>
      </c>
      <c r="G29" s="68">
        <f>G30</f>
        <v>1672000</v>
      </c>
      <c r="H29" s="451">
        <f>H30</f>
        <v>0</v>
      </c>
      <c r="I29" s="252">
        <f>I30</f>
        <v>0</v>
      </c>
    </row>
    <row r="30" spans="1:9" ht="46.5" thickBot="1" thickTop="1">
      <c r="A30" s="253"/>
      <c r="B30" s="253">
        <v>85156</v>
      </c>
      <c r="C30" s="254" t="s">
        <v>207</v>
      </c>
      <c r="D30" s="255">
        <f t="shared" si="2"/>
        <v>1672000</v>
      </c>
      <c r="E30" s="256">
        <f t="shared" si="0"/>
        <v>1672000</v>
      </c>
      <c r="F30" s="461">
        <v>0</v>
      </c>
      <c r="G30" s="463">
        <f>1672000</f>
        <v>1672000</v>
      </c>
      <c r="H30" s="257">
        <v>0</v>
      </c>
      <c r="I30" s="258">
        <v>0</v>
      </c>
    </row>
    <row r="31" spans="1:9" ht="18" thickBot="1" thickTop="1">
      <c r="A31" s="227">
        <v>852</v>
      </c>
      <c r="B31" s="227"/>
      <c r="C31" s="371" t="s">
        <v>96</v>
      </c>
      <c r="D31" s="251">
        <f>E31+I31</f>
        <v>7500</v>
      </c>
      <c r="E31" s="230">
        <f t="shared" si="0"/>
        <v>7500</v>
      </c>
      <c r="F31" s="455">
        <f>F32</f>
        <v>0</v>
      </c>
      <c r="G31" s="68">
        <f>G32</f>
        <v>7500</v>
      </c>
      <c r="H31" s="451">
        <f>H32</f>
        <v>0</v>
      </c>
      <c r="I31" s="252">
        <f>I32</f>
        <v>0</v>
      </c>
    </row>
    <row r="32" spans="1:9" ht="31.5" thickBot="1" thickTop="1">
      <c r="A32" s="253"/>
      <c r="B32" s="253">
        <v>85205</v>
      </c>
      <c r="C32" s="372" t="s">
        <v>275</v>
      </c>
      <c r="D32" s="255">
        <f>E32+I32</f>
        <v>7500</v>
      </c>
      <c r="E32" s="256">
        <f t="shared" si="0"/>
        <v>7500</v>
      </c>
      <c r="F32" s="461">
        <v>0</v>
      </c>
      <c r="G32" s="463">
        <f>7500</f>
        <v>7500</v>
      </c>
      <c r="H32" s="257">
        <v>0</v>
      </c>
      <c r="I32" s="258">
        <v>0</v>
      </c>
    </row>
    <row r="33" spans="1:9" ht="34.5" thickBot="1" thickTop="1">
      <c r="A33" s="259">
        <v>853</v>
      </c>
      <c r="B33" s="259"/>
      <c r="C33" s="260" t="s">
        <v>208</v>
      </c>
      <c r="D33" s="261">
        <f t="shared" si="2"/>
        <v>59000</v>
      </c>
      <c r="E33" s="262">
        <f t="shared" si="0"/>
        <v>59000</v>
      </c>
      <c r="F33" s="449">
        <f>F34</f>
        <v>59000</v>
      </c>
      <c r="G33" s="464">
        <f>G34</f>
        <v>0</v>
      </c>
      <c r="H33" s="452">
        <f>H34</f>
        <v>0</v>
      </c>
      <c r="I33" s="262">
        <f>I34</f>
        <v>0</v>
      </c>
    </row>
    <row r="34" spans="1:9" ht="16.5" thickBot="1" thickTop="1">
      <c r="A34" s="367"/>
      <c r="B34" s="368">
        <v>85321</v>
      </c>
      <c r="C34" s="369" t="s">
        <v>102</v>
      </c>
      <c r="D34" s="370">
        <f t="shared" si="2"/>
        <v>59000</v>
      </c>
      <c r="E34" s="235">
        <f t="shared" si="0"/>
        <v>59000</v>
      </c>
      <c r="F34" s="462">
        <f>59000</f>
        <v>59000</v>
      </c>
      <c r="G34" s="465">
        <f>0</f>
        <v>0</v>
      </c>
      <c r="H34" s="236">
        <f>0</f>
        <v>0</v>
      </c>
      <c r="I34" s="235">
        <v>0</v>
      </c>
    </row>
    <row r="35" spans="1:9" ht="17.25" thickBot="1">
      <c r="A35" s="567" t="s">
        <v>175</v>
      </c>
      <c r="B35" s="568"/>
      <c r="C35" s="568"/>
      <c r="D35" s="263">
        <f aca="true" t="shared" si="3" ref="D35:I35">D33+D29+D27+D24+D20+D18+D16+D31</f>
        <v>5189700</v>
      </c>
      <c r="E35" s="377">
        <f t="shared" si="3"/>
        <v>5189700</v>
      </c>
      <c r="F35" s="263">
        <f t="shared" si="3"/>
        <v>2823763</v>
      </c>
      <c r="G35" s="263">
        <f t="shared" si="3"/>
        <v>2172937</v>
      </c>
      <c r="H35" s="263">
        <f t="shared" si="3"/>
        <v>193000</v>
      </c>
      <c r="I35" s="377">
        <f t="shared" si="3"/>
        <v>0</v>
      </c>
    </row>
  </sheetData>
  <sheetProtection/>
  <mergeCells count="14">
    <mergeCell ref="I11:I14"/>
    <mergeCell ref="E12:E14"/>
    <mergeCell ref="E11:H11"/>
    <mergeCell ref="H12:H14"/>
    <mergeCell ref="F12:G13"/>
    <mergeCell ref="A10:A14"/>
    <mergeCell ref="B10:B14"/>
    <mergeCell ref="C10:C14"/>
    <mergeCell ref="A35:C35"/>
    <mergeCell ref="A6:I6"/>
    <mergeCell ref="A7:I7"/>
    <mergeCell ref="A8:I8"/>
    <mergeCell ref="D10:D14"/>
    <mergeCell ref="E10:I10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23"/>
  <sheetViews>
    <sheetView zoomScalePageLayoutView="0" workbookViewId="0" topLeftCell="A1">
      <selection activeCell="K7" sqref="K7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3.75390625" style="0" customWidth="1"/>
    <col min="7" max="8" width="12.375" style="0" customWidth="1"/>
    <col min="9" max="9" width="13.875" style="0" customWidth="1"/>
    <col min="10" max="10" width="9.125" style="15" customWidth="1"/>
  </cols>
  <sheetData>
    <row r="4" spans="1:9" ht="15">
      <c r="A4" s="111"/>
      <c r="B4" s="111"/>
      <c r="C4" s="111"/>
      <c r="D4" s="111"/>
      <c r="E4" s="111"/>
      <c r="F4" s="111"/>
      <c r="G4" s="111" t="s">
        <v>209</v>
      </c>
      <c r="H4" s="111"/>
      <c r="I4" s="111"/>
    </row>
    <row r="5" spans="1:9" ht="15">
      <c r="A5" s="111"/>
      <c r="B5" s="111"/>
      <c r="C5" s="111"/>
      <c r="D5" s="111"/>
      <c r="E5" s="111"/>
      <c r="F5" s="111"/>
      <c r="G5" s="29" t="s">
        <v>323</v>
      </c>
      <c r="H5" s="29"/>
      <c r="I5" s="111"/>
    </row>
    <row r="6" spans="1:9" ht="12.75" customHeight="1">
      <c r="A6" s="111"/>
      <c r="B6" s="111"/>
      <c r="C6" s="111"/>
      <c r="D6" s="111"/>
      <c r="E6" s="111"/>
      <c r="F6" s="111"/>
      <c r="G6" s="29" t="s">
        <v>21</v>
      </c>
      <c r="H6" s="29"/>
      <c r="I6" s="111"/>
    </row>
    <row r="7" spans="1:9" ht="15.75" customHeight="1">
      <c r="A7" s="111"/>
      <c r="B7" s="111"/>
      <c r="C7" s="111"/>
      <c r="D7" s="111"/>
      <c r="E7" s="111"/>
      <c r="F7" s="111"/>
      <c r="G7" s="30" t="s">
        <v>324</v>
      </c>
      <c r="H7" s="30"/>
      <c r="I7" s="111"/>
    </row>
    <row r="8" spans="1:9" ht="15.75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18" customHeight="1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12.75" customHeight="1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9" ht="15">
      <c r="A11" s="111"/>
      <c r="B11" s="111"/>
      <c r="C11" s="111"/>
      <c r="D11" s="111"/>
      <c r="E11" s="111"/>
      <c r="F11" s="111"/>
      <c r="G11" s="111"/>
      <c r="H11" s="111"/>
      <c r="I11" s="111"/>
    </row>
    <row r="12" spans="1:9" ht="18">
      <c r="A12" s="527" t="s">
        <v>210</v>
      </c>
      <c r="B12" s="506"/>
      <c r="C12" s="506"/>
      <c r="D12" s="506"/>
      <c r="E12" s="506"/>
      <c r="F12" s="506"/>
      <c r="G12" s="506"/>
      <c r="H12" s="506"/>
      <c r="I12" s="506"/>
    </row>
    <row r="13" spans="1:9" ht="18">
      <c r="A13" s="527" t="s">
        <v>211</v>
      </c>
      <c r="B13" s="506"/>
      <c r="C13" s="506"/>
      <c r="D13" s="506"/>
      <c r="E13" s="506"/>
      <c r="F13" s="506"/>
      <c r="G13" s="506"/>
      <c r="H13" s="506"/>
      <c r="I13" s="506"/>
    </row>
    <row r="14" spans="1:9" ht="18">
      <c r="A14" s="527" t="s">
        <v>290</v>
      </c>
      <c r="B14" s="506"/>
      <c r="C14" s="506"/>
      <c r="D14" s="506"/>
      <c r="E14" s="506"/>
      <c r="F14" s="506"/>
      <c r="G14" s="506"/>
      <c r="H14" s="506"/>
      <c r="I14" s="506"/>
    </row>
    <row r="15" spans="1:9" ht="14.25" thickBot="1">
      <c r="A15" s="21"/>
      <c r="B15" s="21"/>
      <c r="C15" s="21"/>
      <c r="D15" s="21"/>
      <c r="E15" s="21"/>
      <c r="F15" s="21"/>
      <c r="G15" s="21"/>
      <c r="H15" s="21"/>
      <c r="I15" s="181" t="s">
        <v>31</v>
      </c>
    </row>
    <row r="16" spans="1:9" ht="13.5" customHeight="1" thickBot="1">
      <c r="A16" s="582" t="s">
        <v>0</v>
      </c>
      <c r="B16" s="582" t="s">
        <v>127</v>
      </c>
      <c r="C16" s="582" t="s">
        <v>35</v>
      </c>
      <c r="D16" s="585" t="s">
        <v>128</v>
      </c>
      <c r="E16" s="593" t="s">
        <v>177</v>
      </c>
      <c r="F16" s="594"/>
      <c r="G16" s="594"/>
      <c r="H16" s="595"/>
      <c r="I16" s="596"/>
    </row>
    <row r="17" spans="1:9" ht="13.5" customHeight="1" thickBot="1">
      <c r="A17" s="583"/>
      <c r="B17" s="583"/>
      <c r="C17" s="583"/>
      <c r="D17" s="586"/>
      <c r="E17" s="588" t="s">
        <v>320</v>
      </c>
      <c r="F17" s="589"/>
      <c r="G17" s="589"/>
      <c r="H17" s="590"/>
      <c r="I17" s="597" t="s">
        <v>130</v>
      </c>
    </row>
    <row r="18" spans="1:9" ht="14.25" customHeight="1" thickBot="1">
      <c r="A18" s="583"/>
      <c r="B18" s="583"/>
      <c r="C18" s="583"/>
      <c r="D18" s="586"/>
      <c r="E18" s="600" t="s">
        <v>15</v>
      </c>
      <c r="F18" s="601" t="s">
        <v>318</v>
      </c>
      <c r="G18" s="602"/>
      <c r="H18" s="585" t="s">
        <v>317</v>
      </c>
      <c r="I18" s="598"/>
    </row>
    <row r="19" spans="1:9" ht="81.75" customHeight="1" thickBot="1">
      <c r="A19" s="603"/>
      <c r="B19" s="584"/>
      <c r="C19" s="584"/>
      <c r="D19" s="587"/>
      <c r="E19" s="599"/>
      <c r="F19" s="264" t="s">
        <v>179</v>
      </c>
      <c r="G19" s="265" t="s">
        <v>319</v>
      </c>
      <c r="H19" s="587"/>
      <c r="I19" s="599"/>
    </row>
    <row r="20" spans="1:10" ht="13.5" thickBot="1">
      <c r="A20" s="266">
        <v>1</v>
      </c>
      <c r="B20" s="267">
        <v>2</v>
      </c>
      <c r="C20" s="268">
        <v>3</v>
      </c>
      <c r="D20" s="269">
        <v>4</v>
      </c>
      <c r="E20" s="270">
        <v>5</v>
      </c>
      <c r="F20" s="271">
        <v>6</v>
      </c>
      <c r="G20" s="271">
        <v>7</v>
      </c>
      <c r="H20" s="271">
        <v>8</v>
      </c>
      <c r="I20" s="466">
        <v>9</v>
      </c>
      <c r="J20" s="407"/>
    </row>
    <row r="21" spans="1:9" ht="21.75" customHeight="1" thickBot="1" thickTop="1">
      <c r="A21" s="272">
        <v>750</v>
      </c>
      <c r="B21" s="185"/>
      <c r="C21" s="273" t="s">
        <v>55</v>
      </c>
      <c r="D21" s="274">
        <f>D22</f>
        <v>1000</v>
      </c>
      <c r="E21" s="341">
        <f>G21+F21</f>
        <v>1000</v>
      </c>
      <c r="F21" s="274">
        <f>F22</f>
        <v>0</v>
      </c>
      <c r="G21" s="274">
        <f>G22</f>
        <v>1000</v>
      </c>
      <c r="H21" s="274">
        <f>H22</f>
        <v>0</v>
      </c>
      <c r="I21" s="375">
        <v>0</v>
      </c>
    </row>
    <row r="22" spans="1:9" ht="24" customHeight="1" thickBot="1" thickTop="1">
      <c r="A22" s="276"/>
      <c r="B22" s="126">
        <v>75045</v>
      </c>
      <c r="C22" s="277" t="s">
        <v>276</v>
      </c>
      <c r="D22" s="278">
        <f>E22+I22</f>
        <v>1000</v>
      </c>
      <c r="E22" s="373">
        <f>G22+F22</f>
        <v>1000</v>
      </c>
      <c r="F22" s="279">
        <v>0</v>
      </c>
      <c r="G22" s="279">
        <f>1000</f>
        <v>1000</v>
      </c>
      <c r="H22" s="279">
        <v>0</v>
      </c>
      <c r="I22" s="376">
        <v>0</v>
      </c>
    </row>
    <row r="23" spans="1:10" ht="17.25" thickBot="1">
      <c r="A23" s="591" t="s">
        <v>15</v>
      </c>
      <c r="B23" s="592"/>
      <c r="C23" s="592"/>
      <c r="D23" s="280">
        <f aca="true" t="shared" si="0" ref="D23:I23">D21</f>
        <v>1000</v>
      </c>
      <c r="E23" s="374">
        <f t="shared" si="0"/>
        <v>1000</v>
      </c>
      <c r="F23" s="280">
        <f t="shared" si="0"/>
        <v>0</v>
      </c>
      <c r="G23" s="280">
        <f t="shared" si="0"/>
        <v>1000</v>
      </c>
      <c r="H23" s="280">
        <f t="shared" si="0"/>
        <v>0</v>
      </c>
      <c r="I23" s="467">
        <f t="shared" si="0"/>
        <v>0</v>
      </c>
      <c r="J23" s="407"/>
    </row>
  </sheetData>
  <sheetProtection/>
  <mergeCells count="14">
    <mergeCell ref="A12:I12"/>
    <mergeCell ref="A13:I13"/>
    <mergeCell ref="A14:I14"/>
    <mergeCell ref="A16:A19"/>
    <mergeCell ref="B16:B19"/>
    <mergeCell ref="C16:C19"/>
    <mergeCell ref="D16:D19"/>
    <mergeCell ref="E17:H17"/>
    <mergeCell ref="H18:H19"/>
    <mergeCell ref="A23:C23"/>
    <mergeCell ref="E16:I16"/>
    <mergeCell ref="I17:I19"/>
    <mergeCell ref="E18:E19"/>
    <mergeCell ref="F18:G18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E22" sqref="E22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</cols>
  <sheetData>
    <row r="1" spans="1:7" ht="15">
      <c r="A1" s="111"/>
      <c r="B1" s="111"/>
      <c r="C1" s="111"/>
      <c r="D1" s="111"/>
      <c r="E1" s="111"/>
      <c r="F1" s="111" t="s">
        <v>212</v>
      </c>
      <c r="G1" s="111"/>
    </row>
    <row r="2" spans="1:7" ht="15">
      <c r="A2" s="111"/>
      <c r="B2" s="111"/>
      <c r="C2" s="111"/>
      <c r="D2" s="111"/>
      <c r="E2" s="111"/>
      <c r="F2" s="29" t="s">
        <v>323</v>
      </c>
      <c r="G2" s="111"/>
    </row>
    <row r="3" spans="1:7" ht="15">
      <c r="A3" s="111"/>
      <c r="B3" s="111"/>
      <c r="C3" s="111"/>
      <c r="D3" s="111"/>
      <c r="E3" s="111"/>
      <c r="F3" s="29" t="s">
        <v>21</v>
      </c>
      <c r="G3" s="111"/>
    </row>
    <row r="4" spans="1:7" ht="15">
      <c r="A4" s="111"/>
      <c r="B4" s="111"/>
      <c r="C4" s="111"/>
      <c r="D4" s="111"/>
      <c r="E4" s="111"/>
      <c r="F4" s="30" t="s">
        <v>324</v>
      </c>
      <c r="G4" s="111"/>
    </row>
    <row r="5" spans="1:7" ht="15">
      <c r="A5" s="111"/>
      <c r="B5" s="111"/>
      <c r="C5" s="111"/>
      <c r="D5" s="111"/>
      <c r="E5" s="111"/>
      <c r="F5" s="111"/>
      <c r="G5" s="111"/>
    </row>
    <row r="6" spans="1:7" ht="12.75" customHeight="1">
      <c r="A6" s="527" t="s">
        <v>291</v>
      </c>
      <c r="B6" s="506"/>
      <c r="C6" s="506"/>
      <c r="D6" s="506"/>
      <c r="E6" s="506"/>
      <c r="F6" s="506"/>
      <c r="G6" s="506"/>
    </row>
    <row r="7" spans="1:7" ht="15.75" customHeight="1">
      <c r="A7" s="527" t="s">
        <v>243</v>
      </c>
      <c r="B7" s="506"/>
      <c r="C7" s="506"/>
      <c r="D7" s="506"/>
      <c r="E7" s="506"/>
      <c r="F7" s="506"/>
      <c r="G7" s="506"/>
    </row>
    <row r="8" spans="1:7" ht="15.75" customHeight="1">
      <c r="A8" s="527" t="s">
        <v>244</v>
      </c>
      <c r="B8" s="506"/>
      <c r="C8" s="506"/>
      <c r="D8" s="506"/>
      <c r="E8" s="506"/>
      <c r="F8" s="506"/>
      <c r="G8" s="506"/>
    </row>
    <row r="9" spans="1:7" ht="18" customHeight="1" thickBot="1">
      <c r="A9" s="21"/>
      <c r="B9" s="21"/>
      <c r="C9" s="21"/>
      <c r="D9" s="21"/>
      <c r="E9" s="21"/>
      <c r="F9" s="21"/>
      <c r="G9" s="181" t="s">
        <v>31</v>
      </c>
    </row>
    <row r="10" spans="1:7" ht="12.75" customHeight="1" thickBot="1">
      <c r="A10" s="612" t="s">
        <v>213</v>
      </c>
      <c r="B10" s="614" t="s">
        <v>214</v>
      </c>
      <c r="C10" s="604" t="s">
        <v>35</v>
      </c>
      <c r="D10" s="606" t="s">
        <v>36</v>
      </c>
      <c r="E10" s="607"/>
      <c r="F10" s="607"/>
      <c r="G10" s="608"/>
    </row>
    <row r="11" spans="1:7" ht="17.25" thickBot="1">
      <c r="A11" s="613"/>
      <c r="B11" s="615"/>
      <c r="C11" s="613"/>
      <c r="D11" s="618" t="s">
        <v>215</v>
      </c>
      <c r="E11" s="619"/>
      <c r="F11" s="619"/>
      <c r="G11" s="620"/>
    </row>
    <row r="12" spans="1:7" ht="13.5" customHeight="1" thickBot="1">
      <c r="A12" s="613"/>
      <c r="B12" s="615"/>
      <c r="C12" s="613"/>
      <c r="D12" s="604" t="s">
        <v>216</v>
      </c>
      <c r="E12" s="606" t="s">
        <v>217</v>
      </c>
      <c r="F12" s="607"/>
      <c r="G12" s="608"/>
    </row>
    <row r="13" spans="1:7" ht="66.75" thickBot="1">
      <c r="A13" s="605"/>
      <c r="B13" s="616"/>
      <c r="C13" s="617"/>
      <c r="D13" s="605"/>
      <c r="E13" s="281" t="s">
        <v>4</v>
      </c>
      <c r="F13" s="281" t="s">
        <v>131</v>
      </c>
      <c r="G13" s="282" t="s">
        <v>218</v>
      </c>
    </row>
    <row r="14" spans="1:7" ht="15.75" thickBot="1">
      <c r="A14" s="283">
        <v>1</v>
      </c>
      <c r="B14" s="284">
        <v>2</v>
      </c>
      <c r="C14" s="113">
        <v>3</v>
      </c>
      <c r="D14" s="59">
        <v>4</v>
      </c>
      <c r="E14" s="59">
        <v>5</v>
      </c>
      <c r="F14" s="59">
        <v>6</v>
      </c>
      <c r="G14" s="285">
        <v>7</v>
      </c>
    </row>
    <row r="15" spans="1:7" ht="19.5" customHeight="1" thickBot="1" thickTop="1">
      <c r="A15" s="286" t="s">
        <v>220</v>
      </c>
      <c r="B15" s="287"/>
      <c r="C15" s="288" t="s">
        <v>96</v>
      </c>
      <c r="D15" s="274">
        <f>D16</f>
        <v>591551</v>
      </c>
      <c r="E15" s="274">
        <f>E16</f>
        <v>591551</v>
      </c>
      <c r="F15" s="274">
        <f>F16</f>
        <v>591551</v>
      </c>
      <c r="G15" s="275">
        <v>0</v>
      </c>
    </row>
    <row r="16" spans="1:7" ht="22.5" customHeight="1" thickBot="1" thickTop="1">
      <c r="A16" s="289"/>
      <c r="B16" s="290" t="s">
        <v>221</v>
      </c>
      <c r="C16" s="291" t="s">
        <v>222</v>
      </c>
      <c r="D16" s="292">
        <f>E16</f>
        <v>591551</v>
      </c>
      <c r="E16" s="292">
        <f>F16+G16</f>
        <v>591551</v>
      </c>
      <c r="F16" s="292">
        <v>591551</v>
      </c>
      <c r="G16" s="293">
        <v>0</v>
      </c>
    </row>
    <row r="17" spans="1:7" ht="33.75" customHeight="1" thickBot="1" thickTop="1">
      <c r="A17" s="298">
        <v>921</v>
      </c>
      <c r="B17" s="299"/>
      <c r="C17" s="300" t="s">
        <v>25</v>
      </c>
      <c r="D17" s="274">
        <f>E17</f>
        <v>25000</v>
      </c>
      <c r="E17" s="274">
        <f>F17</f>
        <v>25000</v>
      </c>
      <c r="F17" s="274">
        <f>F18</f>
        <v>25000</v>
      </c>
      <c r="G17" s="275">
        <v>0</v>
      </c>
    </row>
    <row r="18" spans="1:7" ht="21.75" customHeight="1" thickBot="1" thickTop="1">
      <c r="A18" s="301"/>
      <c r="B18" s="302">
        <v>92116</v>
      </c>
      <c r="C18" s="303" t="s">
        <v>174</v>
      </c>
      <c r="D18" s="292">
        <f>E18</f>
        <v>25000</v>
      </c>
      <c r="E18" s="292">
        <f>F18</f>
        <v>25000</v>
      </c>
      <c r="F18" s="292">
        <f>SUM(F19)</f>
        <v>25000</v>
      </c>
      <c r="G18" s="293">
        <v>0</v>
      </c>
    </row>
    <row r="19" spans="1:7" ht="20.25" customHeight="1" hidden="1" thickBot="1">
      <c r="A19" s="294"/>
      <c r="B19" s="304"/>
      <c r="C19" s="295" t="s">
        <v>250</v>
      </c>
      <c r="D19" s="296">
        <f>E19</f>
        <v>25000</v>
      </c>
      <c r="E19" s="296">
        <f>F19</f>
        <v>25000</v>
      </c>
      <c r="F19" s="296">
        <v>25000</v>
      </c>
      <c r="G19" s="297">
        <v>0</v>
      </c>
    </row>
    <row r="20" spans="1:7" ht="17.25" thickBot="1">
      <c r="A20" s="609" t="s">
        <v>15</v>
      </c>
      <c r="B20" s="610"/>
      <c r="C20" s="611"/>
      <c r="D20" s="305">
        <f>D15+D17</f>
        <v>616551</v>
      </c>
      <c r="E20" s="280">
        <f>E15+E17</f>
        <v>616551</v>
      </c>
      <c r="F20" s="280">
        <f>F15+F17</f>
        <v>616551</v>
      </c>
      <c r="G20" s="306">
        <f>G15</f>
        <v>0</v>
      </c>
    </row>
  </sheetData>
  <sheetProtection/>
  <mergeCells count="11">
    <mergeCell ref="D11:G11"/>
    <mergeCell ref="D12:D13"/>
    <mergeCell ref="E12:G12"/>
    <mergeCell ref="A20:C20"/>
    <mergeCell ref="A6:G6"/>
    <mergeCell ref="A7:G7"/>
    <mergeCell ref="A8:G8"/>
    <mergeCell ref="A10:A13"/>
    <mergeCell ref="B10:B13"/>
    <mergeCell ref="C10:C13"/>
    <mergeCell ref="D10:G10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32" sqref="D32"/>
    </sheetView>
  </sheetViews>
  <sheetFormatPr defaultColWidth="9.00390625" defaultRowHeight="12.75"/>
  <cols>
    <col min="2" max="2" width="10.375" style="0" customWidth="1"/>
    <col min="4" max="4" width="61.875" style="0" bestFit="1" customWidth="1"/>
  </cols>
  <sheetData>
    <row r="1" spans="1:6" ht="15">
      <c r="A1" s="111"/>
      <c r="B1" s="111"/>
      <c r="C1" s="111"/>
      <c r="D1" s="111"/>
      <c r="E1" s="111" t="s">
        <v>322</v>
      </c>
      <c r="F1" s="111"/>
    </row>
    <row r="2" spans="1:6" ht="15">
      <c r="A2" s="111"/>
      <c r="B2" s="111"/>
      <c r="C2" s="111"/>
      <c r="D2" s="111"/>
      <c r="E2" s="29" t="s">
        <v>323</v>
      </c>
      <c r="F2" s="111"/>
    </row>
    <row r="3" spans="1:6" ht="15">
      <c r="A3" s="111"/>
      <c r="B3" s="111"/>
      <c r="C3" s="111"/>
      <c r="D3" s="111"/>
      <c r="E3" s="29" t="s">
        <v>21</v>
      </c>
      <c r="F3" s="111"/>
    </row>
    <row r="4" spans="1:6" ht="15">
      <c r="A4" s="111"/>
      <c r="B4" s="111"/>
      <c r="C4" s="111"/>
      <c r="D4" s="111"/>
      <c r="E4" s="30" t="s">
        <v>324</v>
      </c>
      <c r="F4" s="111"/>
    </row>
    <row r="5" spans="1:6" ht="15">
      <c r="A5" s="111"/>
      <c r="B5" s="111"/>
      <c r="C5" s="111"/>
      <c r="D5" s="111"/>
      <c r="E5" s="111"/>
      <c r="F5" s="111"/>
    </row>
    <row r="6" spans="1:6" ht="20.25" customHeight="1">
      <c r="A6" s="637" t="s">
        <v>292</v>
      </c>
      <c r="B6" s="638"/>
      <c r="C6" s="638"/>
      <c r="D6" s="638"/>
      <c r="E6" s="638"/>
      <c r="F6" s="638"/>
    </row>
    <row r="7" spans="1:6" ht="21.75" customHeight="1">
      <c r="A7" s="637" t="s">
        <v>224</v>
      </c>
      <c r="B7" s="638"/>
      <c r="C7" s="638"/>
      <c r="D7" s="638"/>
      <c r="E7" s="638"/>
      <c r="F7" s="638"/>
    </row>
    <row r="8" spans="1:6" ht="15.75" customHeight="1" thickBot="1">
      <c r="A8" s="26"/>
      <c r="B8" s="26"/>
      <c r="C8" s="26"/>
      <c r="D8" s="26"/>
      <c r="E8" s="26"/>
      <c r="F8" s="26"/>
    </row>
    <row r="9" spans="1:6" ht="21" customHeight="1" thickBot="1">
      <c r="A9" s="308" t="s">
        <v>213</v>
      </c>
      <c r="B9" s="309" t="s">
        <v>214</v>
      </c>
      <c r="C9" s="309" t="s">
        <v>34</v>
      </c>
      <c r="D9" s="309" t="s">
        <v>35</v>
      </c>
      <c r="E9" s="639" t="s">
        <v>225</v>
      </c>
      <c r="F9" s="640"/>
    </row>
    <row r="10" spans="1:6" ht="21" customHeight="1">
      <c r="A10" s="310">
        <v>801</v>
      </c>
      <c r="B10" s="311"/>
      <c r="C10" s="311"/>
      <c r="D10" s="312" t="s">
        <v>226</v>
      </c>
      <c r="E10" s="641">
        <f>E11+E20+E23</f>
        <v>1941813</v>
      </c>
      <c r="F10" s="642"/>
    </row>
    <row r="11" spans="1:6" ht="18">
      <c r="A11" s="313"/>
      <c r="B11" s="314">
        <v>80120</v>
      </c>
      <c r="C11" s="314"/>
      <c r="D11" s="315" t="s">
        <v>85</v>
      </c>
      <c r="E11" s="631">
        <f>E12+E14+E18+E16</f>
        <v>130608</v>
      </c>
      <c r="F11" s="632"/>
    </row>
    <row r="12" spans="1:6" ht="15" hidden="1">
      <c r="A12" s="316"/>
      <c r="B12" s="176"/>
      <c r="C12" s="176"/>
      <c r="D12" s="317" t="s">
        <v>227</v>
      </c>
      <c r="E12" s="633">
        <v>74880</v>
      </c>
      <c r="F12" s="634"/>
    </row>
    <row r="13" spans="1:6" ht="30">
      <c r="A13" s="122"/>
      <c r="B13" s="123"/>
      <c r="C13" s="123">
        <v>2540</v>
      </c>
      <c r="D13" s="318" t="s">
        <v>228</v>
      </c>
      <c r="E13" s="621">
        <f>SUM(E12)</f>
        <v>74880</v>
      </c>
      <c r="F13" s="622"/>
    </row>
    <row r="14" spans="1:6" ht="30" hidden="1">
      <c r="A14" s="316"/>
      <c r="B14" s="176"/>
      <c r="C14" s="176"/>
      <c r="D14" s="317" t="s">
        <v>229</v>
      </c>
      <c r="E14" s="625">
        <v>18648</v>
      </c>
      <c r="F14" s="626"/>
    </row>
    <row r="15" spans="1:6" ht="30">
      <c r="A15" s="122"/>
      <c r="B15" s="123"/>
      <c r="C15" s="123">
        <v>2540</v>
      </c>
      <c r="D15" s="318" t="s">
        <v>228</v>
      </c>
      <c r="E15" s="623">
        <f>SUM(E14)</f>
        <v>18648</v>
      </c>
      <c r="F15" s="624"/>
    </row>
    <row r="16" spans="1:6" ht="15" hidden="1">
      <c r="A16" s="316"/>
      <c r="B16" s="176"/>
      <c r="C16" s="176"/>
      <c r="D16" s="317" t="s">
        <v>278</v>
      </c>
      <c r="E16" s="625">
        <v>1512</v>
      </c>
      <c r="F16" s="626"/>
    </row>
    <row r="17" spans="1:6" ht="30">
      <c r="A17" s="122"/>
      <c r="B17" s="123"/>
      <c r="C17" s="123">
        <v>2540</v>
      </c>
      <c r="D17" s="318" t="s">
        <v>228</v>
      </c>
      <c r="E17" s="623">
        <f>SUM(E16)</f>
        <v>1512</v>
      </c>
      <c r="F17" s="624"/>
    </row>
    <row r="18" spans="1:6" ht="15" hidden="1">
      <c r="A18" s="316"/>
      <c r="B18" s="176"/>
      <c r="C18" s="176"/>
      <c r="D18" s="317" t="s">
        <v>246</v>
      </c>
      <c r="E18" s="625">
        <v>35568</v>
      </c>
      <c r="F18" s="626"/>
    </row>
    <row r="19" spans="1:6" ht="30">
      <c r="A19" s="122"/>
      <c r="B19" s="123"/>
      <c r="C19" s="123">
        <v>2540</v>
      </c>
      <c r="D19" s="318" t="s">
        <v>228</v>
      </c>
      <c r="E19" s="623">
        <f>SUM(E18)</f>
        <v>35568</v>
      </c>
      <c r="F19" s="624"/>
    </row>
    <row r="20" spans="1:6" ht="18">
      <c r="A20" s="313"/>
      <c r="B20" s="314">
        <v>80130</v>
      </c>
      <c r="C20" s="314"/>
      <c r="D20" s="319" t="s">
        <v>87</v>
      </c>
      <c r="E20" s="631">
        <f>E21</f>
        <v>37080</v>
      </c>
      <c r="F20" s="632"/>
    </row>
    <row r="21" spans="1:6" ht="41.25" customHeight="1" hidden="1">
      <c r="A21" s="316"/>
      <c r="B21" s="176"/>
      <c r="C21" s="176"/>
      <c r="D21" s="320" t="s">
        <v>230</v>
      </c>
      <c r="E21" s="633">
        <v>37080</v>
      </c>
      <c r="F21" s="634"/>
    </row>
    <row r="22" spans="1:6" ht="30">
      <c r="A22" s="122"/>
      <c r="B22" s="123"/>
      <c r="C22" s="123">
        <v>2540</v>
      </c>
      <c r="D22" s="318" t="s">
        <v>228</v>
      </c>
      <c r="E22" s="621">
        <f>SUM(E21)</f>
        <v>37080</v>
      </c>
      <c r="F22" s="622"/>
    </row>
    <row r="23" spans="1:6" ht="18">
      <c r="A23" s="313"/>
      <c r="B23" s="314">
        <v>80144</v>
      </c>
      <c r="C23" s="314"/>
      <c r="D23" s="319" t="s">
        <v>187</v>
      </c>
      <c r="E23" s="631">
        <f>E24</f>
        <v>1774125</v>
      </c>
      <c r="F23" s="632"/>
    </row>
    <row r="24" spans="1:6" ht="30" hidden="1">
      <c r="A24" s="316"/>
      <c r="B24" s="176"/>
      <c r="C24" s="176"/>
      <c r="D24" s="320" t="s">
        <v>231</v>
      </c>
      <c r="E24" s="633">
        <v>1774125</v>
      </c>
      <c r="F24" s="634"/>
    </row>
    <row r="25" spans="1:6" ht="30.75" thickBot="1">
      <c r="A25" s="125"/>
      <c r="B25" s="126"/>
      <c r="C25" s="126">
        <v>2540</v>
      </c>
      <c r="D25" s="318" t="s">
        <v>228</v>
      </c>
      <c r="E25" s="635">
        <f>SUM(E24)</f>
        <v>1774125</v>
      </c>
      <c r="F25" s="636"/>
    </row>
    <row r="26" spans="1:6" ht="18.75" thickBot="1">
      <c r="A26" s="470" t="s">
        <v>15</v>
      </c>
      <c r="B26" s="627"/>
      <c r="C26" s="627"/>
      <c r="D26" s="628"/>
      <c r="E26" s="629">
        <f>E10</f>
        <v>1941813</v>
      </c>
      <c r="F26" s="630"/>
    </row>
  </sheetData>
  <sheetProtection/>
  <mergeCells count="21">
    <mergeCell ref="E11:F11"/>
    <mergeCell ref="E21:F21"/>
    <mergeCell ref="E17:F17"/>
    <mergeCell ref="E25:F25"/>
    <mergeCell ref="E12:F12"/>
    <mergeCell ref="E24:F24"/>
    <mergeCell ref="A6:F6"/>
    <mergeCell ref="A7:F7"/>
    <mergeCell ref="E9:F9"/>
    <mergeCell ref="E10:F10"/>
    <mergeCell ref="E16:F16"/>
    <mergeCell ref="E22:F22"/>
    <mergeCell ref="E15:F15"/>
    <mergeCell ref="E13:F13"/>
    <mergeCell ref="E14:F14"/>
    <mergeCell ref="A26:D26"/>
    <mergeCell ref="E26:F26"/>
    <mergeCell ref="E18:F18"/>
    <mergeCell ref="E19:F19"/>
    <mergeCell ref="E20:F20"/>
    <mergeCell ref="E23:F23"/>
  </mergeCells>
  <printOptions horizontalCentered="1" vertic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PYRZYCE</dc:creator>
  <cp:keywords/>
  <dc:description/>
  <cp:lastModifiedBy>jkolasinska</cp:lastModifiedBy>
  <cp:lastPrinted>2011-02-25T13:39:25Z</cp:lastPrinted>
  <dcterms:created xsi:type="dcterms:W3CDTF">2003-09-30T05:16:40Z</dcterms:created>
  <dcterms:modified xsi:type="dcterms:W3CDTF">2011-02-25T13:40:19Z</dcterms:modified>
  <cp:category/>
  <cp:version/>
  <cp:contentType/>
  <cp:contentStatus/>
</cp:coreProperties>
</file>