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DOCHODY I WYDATKI " sheetId="1" r:id="rId1"/>
    <sheet name="DOCHODY" sheetId="2" r:id="rId2"/>
    <sheet name="DOCHODY WG ŹRÓDEŁ" sheetId="3" r:id="rId3"/>
    <sheet name="WYDATKI" sheetId="4" r:id="rId4"/>
    <sheet name="WYDATKI zad. wł." sheetId="5" r:id="rId5"/>
    <sheet name="WYDATKI zad. zl." sheetId="6" r:id="rId6"/>
    <sheet name="WYDATKI poroz. z adm." sheetId="7" r:id="rId7"/>
    <sheet name="DOTACJE na  poroz." sheetId="8" r:id="rId8"/>
    <sheet name="zakł bud, gospo pomoc, doch wła" sheetId="9" r:id="rId9"/>
    <sheet name="DOTACJE dla szkół niepub" sheetId="10" r:id="rId10"/>
    <sheet name="PFGZGiK" sheetId="11" r:id="rId11"/>
    <sheet name="PFOŚiGW" sheetId="12" r:id="rId12"/>
    <sheet name="przychody i rochody" sheetId="13" r:id="rId13"/>
  </sheets>
  <definedNames>
    <definedName name="_xlnm.Print_Area" localSheetId="1">'DOCHODY'!$A$1:$M$120</definedName>
    <definedName name="_xlnm.Print_Area" localSheetId="8">'zakł bud, gospo pomoc, doch wła'!$A$1:$I$37</definedName>
    <definedName name="_xlnm.Print_Titles" localSheetId="1">'DOCHODY'!$11:$14</definedName>
    <definedName name="_xlnm.Print_Titles" localSheetId="3">'WYDATKI'!$9:$13</definedName>
    <definedName name="_xlnm.Print_Titles" localSheetId="4">'WYDATKI zad. wł.'!$9:$13</definedName>
    <definedName name="_xlnm.Print_Titles" localSheetId="5">'WYDATKI zad. zl.'!$10:$15</definedName>
  </definedNames>
  <calcPr fullCalcOnLoad="1"/>
</workbook>
</file>

<file path=xl/sharedStrings.xml><?xml version="1.0" encoding="utf-8"?>
<sst xmlns="http://schemas.openxmlformats.org/spreadsheetml/2006/main" count="696" uniqueCount="319">
  <si>
    <t>DZIAŁ</t>
  </si>
  <si>
    <t>WYSZCZEGÓLNIENIE</t>
  </si>
  <si>
    <t>DOCHODY</t>
  </si>
  <si>
    <t>WYDATKI</t>
  </si>
  <si>
    <t>Ogółem</t>
  </si>
  <si>
    <t>ROLNICTWO I ŁOWIECTWO</t>
  </si>
  <si>
    <t>LEŚNICTWO</t>
  </si>
  <si>
    <t>TRANSPORT I ŁĄCZNOŚĆ</t>
  </si>
  <si>
    <t>GOSPODARKA MIESZKANIOWA</t>
  </si>
  <si>
    <t>DZIAŁALNOŚĆ USŁUGOWA</t>
  </si>
  <si>
    <t>BEZPIECZEŃSTWO PUBLICZNE I OCHRONA PRZECIWPOŻAROWA</t>
  </si>
  <si>
    <t>OBSŁUGA DŁUGU PUBLICZNEGO</t>
  </si>
  <si>
    <t>RÓŻNE ROZLICZENIA</t>
  </si>
  <si>
    <t>OCHRONA ZDROWIA</t>
  </si>
  <si>
    <t>EDUKACYJNA OPIEKA WYCHOWAWCZA</t>
  </si>
  <si>
    <t>OGÓŁEM</t>
  </si>
  <si>
    <t>w tym zadania zlecone</t>
  </si>
  <si>
    <t>POMOC  SPOŁECZNA</t>
  </si>
  <si>
    <t>POZOSTAŁE ZADANIA W ZAKRESIE POLITYKI SPOŁECZNEJ</t>
  </si>
  <si>
    <t>TURYSTYKA</t>
  </si>
  <si>
    <t>Załącznik Nr 1</t>
  </si>
  <si>
    <t>Rady Powiatu Pyrzyckiego</t>
  </si>
  <si>
    <t>010</t>
  </si>
  <si>
    <t>020</t>
  </si>
  <si>
    <t>DOCHODY OD OSÓB PRAWNYCH, OD OSÓB FIZYCZNYCH I OD INNYCH JEDNOSTEK NIEPOSIADAJĄCYCH OSOBOWOŚCI PRAWNEJ ORAZ WYDATKI ZWIĄZANE Z ICH POBOREM</t>
  </si>
  <si>
    <t>KULTURA I OCHRONA DZIEDZICTWA NARODOWEGO</t>
  </si>
  <si>
    <t>KULTURA FIZYCZNA I SPORT</t>
  </si>
  <si>
    <t xml:space="preserve">ADMINISTRACJA PUBLICZNA </t>
  </si>
  <si>
    <t>Załącznik Nr 2</t>
  </si>
  <si>
    <t>PROGNOZOWANE DOCHODY BUDŻETU  POWIATU PYRZYCKIEGO</t>
  </si>
  <si>
    <t>(OGÓŁEM)</t>
  </si>
  <si>
    <t>według działów, rozdziałów klasyfikacji i ważniejszych źródeł</t>
  </si>
  <si>
    <t>w złotych</t>
  </si>
  <si>
    <t>Dział</t>
  </si>
  <si>
    <t>Rozdział</t>
  </si>
  <si>
    <t>§</t>
  </si>
  <si>
    <t>NAZWA PODZIAŁKI KLASYFIKACJI BUDŻETOWEJ</t>
  </si>
  <si>
    <t>z tego:</t>
  </si>
  <si>
    <t>Dochody bieżące</t>
  </si>
  <si>
    <t>w tym:</t>
  </si>
  <si>
    <t>Dochody majątkowe</t>
  </si>
  <si>
    <t>Dochody związane z realizacją zadań własnych</t>
  </si>
  <si>
    <t>Dochody związane z ralizacją zadań z zakresu administracji rządowej oraz innych zadań zleconych ustawami</t>
  </si>
  <si>
    <t>Dochody związane z realizacją zadań z zakresu administracji rządowej na podstawie porozumień z organami tej administracji</t>
  </si>
  <si>
    <t>O10</t>
  </si>
  <si>
    <t>O1005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</si>
  <si>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</si>
  <si>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</si>
  <si>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</si>
  <si>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</si>
  <si>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Gospodarka gruntami i nieruchomościami</t>
  </si>
  <si>
    <t>O870</t>
  </si>
  <si>
    <t xml:space="preserve">Wpływy ze sprzedaży składników majątkowych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</si>
  <si>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</si>
  <si>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</si>
  <si>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</si>
  <si>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</si>
  <si>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</si>
  <si>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</si>
  <si>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</si>
  <si>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</si>
  <si>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0470</t>
  </si>
  <si>
    <t>Wpływy z opłat za zarząd, użytkowanie i użytkowanie wieczyste nieruchomości</t>
  </si>
  <si>
    <t>0690</t>
  </si>
  <si>
    <t>Wpływy z różnych opłat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</si>
  <si>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</si>
  <si>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</si>
  <si>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O830</t>
  </si>
  <si>
    <t>Wpływy z usług</t>
  </si>
  <si>
    <t>0920</t>
  </si>
  <si>
    <t>Pozostałe odsetki</t>
  </si>
  <si>
    <t>Komisje poborowe</t>
  </si>
  <si>
    <t>Dotacje celowe otrzymane z budżetu państwa na zadania bieżące realizowane przez powiat na podstawie porozumień z organami administracji rządowej</t>
  </si>
  <si>
    <t>Komendy powiatowe Państwowej Straży Pożarnej</t>
  </si>
  <si>
    <t>O920</t>
  </si>
  <si>
    <t>Wpływy z innych opłat stanowiących dochody jednostek samorządu terytorialnego na podstawie ustaw</t>
  </si>
  <si>
    <t>O490</t>
  </si>
  <si>
    <t>Wpływy z innych lokalnych opłat pobieranych przez jednostki samorządu terytorialnego na podstawie odrębnych ustaw</t>
  </si>
  <si>
    <t>Udziały powiatu w podatkach stanowiących dochód budżetu państwa</t>
  </si>
  <si>
    <t>OO10</t>
  </si>
  <si>
    <t>Podatek dochodowy od osób fizycznych</t>
  </si>
  <si>
    <t>OO20</t>
  </si>
  <si>
    <t>Podatek dochodowy od osób prawnych</t>
  </si>
  <si>
    <r>
      <t xml:space="preserve">Część </t>
    </r>
    <r>
      <rPr>
        <b/>
        <sz val="10"/>
        <rFont val="Arial CE"/>
        <family val="2"/>
      </rPr>
      <t xml:space="preserve">oświatowa </t>
    </r>
    <r>
      <rPr>
        <sz val="10"/>
        <rFont val="Arial CE"/>
        <family val="2"/>
      </rPr>
      <t>subwencji ogólnej dla jednostek samorządu terytorialnego</t>
    </r>
  </si>
  <si>
    <t>Subwencje ogólne z budżetu państwa</t>
  </si>
  <si>
    <r>
      <t xml:space="preserve">Część </t>
    </r>
    <r>
      <rPr>
        <b/>
        <sz val="10"/>
        <rFont val="Arial CE"/>
        <family val="2"/>
      </rPr>
      <t>wyrównawcza</t>
    </r>
    <r>
      <rPr>
        <sz val="10"/>
        <rFont val="Arial CE"/>
        <family val="2"/>
      </rPr>
      <t xml:space="preserve"> subwencji ogólnej dla powiatów </t>
    </r>
  </si>
  <si>
    <r>
      <t xml:space="preserve">Część </t>
    </r>
    <r>
      <rPr>
        <b/>
        <sz val="10"/>
        <rFont val="Arial CE"/>
        <family val="0"/>
      </rPr>
      <t>równoważąca</t>
    </r>
    <r>
      <rPr>
        <sz val="10"/>
        <rFont val="Arial CE"/>
        <family val="2"/>
      </rPr>
      <t xml:space="preserve"> subwencji ogólnej dla powiatów </t>
    </r>
  </si>
  <si>
    <t>OŚWIATA I WYCHOWANIE</t>
  </si>
  <si>
    <t>Szkoły podstawowe specjalne</t>
  </si>
  <si>
    <t>Gimnazja specjalne</t>
  </si>
  <si>
    <t>Licea ogólnokształcące</t>
  </si>
  <si>
    <t>Dochody z najmu i dzierżawy składników majątkowych Skarbu Państwa, jednostek samorządu terytorialnego lub innych jednostek zaliczanych do sektora finansów publicznych oraz innych umów o podobnym charakterze</t>
  </si>
  <si>
    <t>Szkoły zawodowe</t>
  </si>
  <si>
    <t xml:space="preserve">Wpływy z usług </t>
  </si>
  <si>
    <t>O970</t>
  </si>
  <si>
    <t xml:space="preserve">Wpływy z różnych  dochodów </t>
  </si>
  <si>
    <t>Szkoły zawodowe specjalne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</si>
  <si>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</si>
  <si>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</si>
  <si>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Dotacje celowe otrzymane z budżetu państwa na zadania bieżące z zakresu administracji rządowej oraz inne zadania zlecone ustawami realizowane przez powiat, w tym:</t>
  </si>
  <si>
    <t>bezrobotni bez prawa do zasiłku</t>
  </si>
  <si>
    <t>dzieci z placówek opiekuńczo-wychowawczych</t>
  </si>
  <si>
    <t>POMOC SPOŁECZNA</t>
  </si>
  <si>
    <t>Placówki opiekuńczo – wychowawcze</t>
  </si>
  <si>
    <t>0970</t>
  </si>
  <si>
    <t>Wpływy z różnych dochodów</t>
  </si>
  <si>
    <t>Dotacje celowe otrzymane z powiatu na zadania bieżące realizowane na podstawie porozumień (umów) między jednostkami samorządu terytorialnego</t>
  </si>
  <si>
    <t>Domy pomocy społecznej</t>
  </si>
  <si>
    <t>Dotacje celowe otrzymane z budżetu państwa na realizację bieżących zadań własnych powiatu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</si>
  <si>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</si>
  <si>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</si>
  <si>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</si>
  <si>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</si>
  <si>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finsnowanie kosztów wynagrodzenia i składek na ubezpieczenia społeczne pracowników powiatowego urzędu pracy</t>
  </si>
  <si>
    <t>Specjalne ośrodki szkolno – wychowawcze</t>
  </si>
  <si>
    <t>Internaty i bursy szkolne</t>
  </si>
  <si>
    <r>
      <t>Wpływy z usług</t>
    </r>
    <r>
      <rPr>
        <b/>
        <sz val="10"/>
        <rFont val="Arial CE"/>
        <family val="0"/>
      </rPr>
      <t xml:space="preserve"> </t>
    </r>
  </si>
  <si>
    <t>Załącznik Nr 3</t>
  </si>
  <si>
    <t>według głównych źródeł</t>
  </si>
  <si>
    <t>L.P.</t>
  </si>
  <si>
    <t>ŹRÓDŁA DOCHODÓW</t>
  </si>
  <si>
    <t>KWOTA  W  ZŁ</t>
  </si>
  <si>
    <t>UDZIAŁ W %</t>
  </si>
  <si>
    <t>I</t>
  </si>
  <si>
    <t>DOTACJE CELOWE Z BUDŻETU PAŃSTWA</t>
  </si>
  <si>
    <r>
      <t>Dotacje celowe otrzymane z budżetu państwa na zadania z zakresu administracji rządowej oraz inne zadania zlecone ustawami realizowane przez powiat</t>
    </r>
    <r>
      <rPr>
        <b/>
        <sz val="10"/>
        <rFont val="Arial CE"/>
        <family val="0"/>
      </rPr>
      <t xml:space="preserve"> </t>
    </r>
    <r>
      <rPr>
        <b/>
        <sz val="10"/>
        <color indexed="9"/>
        <rFont val="Arial CE"/>
        <family val="0"/>
      </rPr>
      <t>§ 2110, § 6410</t>
    </r>
  </si>
  <si>
    <r>
      <t xml:space="preserve">Dotacje celowe otrzymane z budżetu państwa na realizację bieżących zadań własnych powiatu </t>
    </r>
    <r>
      <rPr>
        <b/>
        <sz val="10"/>
        <color indexed="9"/>
        <rFont val="Arial CE"/>
        <family val="0"/>
      </rPr>
      <t>§ 2130</t>
    </r>
  </si>
  <si>
    <r>
      <t xml:space="preserve">Dotacje celowe otrzymane z budżetu państwa na zadania bieżące realizowane przez powiat na podstawie porozumień z organami administracji rządowej </t>
    </r>
    <r>
      <rPr>
        <b/>
        <sz val="10"/>
        <color indexed="9"/>
        <rFont val="Arial CE"/>
        <family val="0"/>
      </rPr>
      <t>§ 2120</t>
    </r>
  </si>
  <si>
    <t>II</t>
  </si>
  <si>
    <t xml:space="preserve">SUBWENCJA OGÓLNA </t>
  </si>
  <si>
    <t>Część oświatowa subwencji ogólnej</t>
  </si>
  <si>
    <t>Część wyrównawcza subwencji ogólnej</t>
  </si>
  <si>
    <t>Część równoważąca subwencji ogólnej</t>
  </si>
  <si>
    <t>III</t>
  </si>
  <si>
    <t>ŚRODKI POZYSKANE Z INNYCH ŹRÓDEŁ</t>
  </si>
  <si>
    <r>
      <t xml:space="preserve">Środki otrzymane od pozostałych jednostek zaliczanych do sektora finansów publicznych na realizację zadań bieżących jednostek zaliczanych do sektora finansów publicznych </t>
    </r>
    <r>
      <rPr>
        <b/>
        <sz val="10"/>
        <color indexed="9"/>
        <rFont val="Arial CE"/>
        <family val="0"/>
      </rPr>
      <t>§ 2460</t>
    </r>
  </si>
  <si>
    <t>Środki z Funduszu Pracy otrzymane przez powiat z przeznaczeniem na finansowanie kosztów wynagrodzenia i składek na ubezpieczenie społeczne pracowników powiatowego urzędu pracy</t>
  </si>
  <si>
    <r>
      <t xml:space="preserve">Dotacje celowe otrzymane z powiatu na zadania bieżące realizowane na podstawie porozumień (umów) między jednostkami samorządu terytorialnego </t>
    </r>
    <r>
      <rPr>
        <b/>
        <sz val="10"/>
        <color indexed="9"/>
        <rFont val="Arial CE"/>
        <family val="0"/>
      </rPr>
      <t>§ 2320</t>
    </r>
  </si>
  <si>
    <t>IV</t>
  </si>
  <si>
    <t>DOCHODY WŁASNE</t>
  </si>
  <si>
    <r>
      <t xml:space="preserve">Udziały powiatów w podatkach stanowiących dochód budżetu państwa – udział w podatku dochodowym od osób fizycznych </t>
    </r>
    <r>
      <rPr>
        <b/>
        <sz val="10"/>
        <color indexed="9"/>
        <rFont val="Arial CE"/>
        <family val="0"/>
      </rPr>
      <t>§ 0010</t>
    </r>
  </si>
  <si>
    <r>
      <t>Udziały powiatów w podatkach stanowiących dochód budżetu państwa – udział w podatku dochodowym od osób prawnych</t>
    </r>
    <r>
      <rPr>
        <sz val="10"/>
        <color indexed="9"/>
        <rFont val="Arial CE"/>
        <family val="0"/>
      </rPr>
      <t xml:space="preserve"> </t>
    </r>
    <r>
      <rPr>
        <b/>
        <sz val="10"/>
        <color indexed="9"/>
        <rFont val="Arial CE"/>
        <family val="0"/>
      </rPr>
      <t>§ 0020</t>
    </r>
  </si>
  <si>
    <r>
      <t xml:space="preserve">Wpływy z opłat komunikacyjnych </t>
    </r>
    <r>
      <rPr>
        <b/>
        <sz val="10"/>
        <color indexed="9"/>
        <rFont val="Arial CE"/>
        <family val="0"/>
      </rPr>
      <t>§ 0420</t>
    </r>
  </si>
  <si>
    <r>
      <t>Opłaty za pobyt w Domu Pomocy Społecznej</t>
    </r>
    <r>
      <rPr>
        <sz val="10"/>
        <color indexed="9"/>
        <rFont val="Arial CE"/>
        <family val="0"/>
      </rPr>
      <t xml:space="preserve"> </t>
    </r>
    <r>
      <rPr>
        <b/>
        <sz val="10"/>
        <color indexed="9"/>
        <rFont val="Arial CE"/>
        <family val="0"/>
      </rPr>
      <t>85202 § 0830</t>
    </r>
  </si>
  <si>
    <t>Pozostałe dochody</t>
  </si>
  <si>
    <t>Załącznik Nr 4</t>
  </si>
  <si>
    <t xml:space="preserve">WYDATKI BUDŻETU POWIATU PYRZYCKIEGO </t>
  </si>
  <si>
    <t>ROZDZIAŁ</t>
  </si>
  <si>
    <t>PLAN WYDATKÓW OGÓŁEM</t>
  </si>
  <si>
    <t>z tego :</t>
  </si>
  <si>
    <t>WYDATKI BIEŻĄCE</t>
  </si>
  <si>
    <t>WYDATKI MAJĄTKOWE</t>
  </si>
  <si>
    <t>Wynagrodzenia       i pochodne</t>
  </si>
  <si>
    <t>Pozostałe                      wydatki bieżące</t>
  </si>
  <si>
    <t>Dotacje</t>
  </si>
  <si>
    <t>Wydatki na obsługę długu</t>
  </si>
  <si>
    <t>01005</t>
  </si>
  <si>
    <t>Prace geodezyjno – urządzeniowe na potrzeby rolnictwa</t>
  </si>
  <si>
    <t>02001</t>
  </si>
  <si>
    <t>Gospodarka leśna</t>
  </si>
  <si>
    <t xml:space="preserve">Drogi publiczne powiatowe </t>
  </si>
  <si>
    <t>Turystyka</t>
  </si>
  <si>
    <t>Pozostała działalność</t>
  </si>
  <si>
    <t>Ośrodki dokumentacji geodezyjnej i kartograficznej</t>
  </si>
  <si>
    <t xml:space="preserve">Nadzór budowlany </t>
  </si>
  <si>
    <t>Rady powiatów</t>
  </si>
  <si>
    <t xml:space="preserve">Komisje poborowe </t>
  </si>
  <si>
    <t>Promocja jednostek samorządu terytorialnego</t>
  </si>
  <si>
    <t xml:space="preserve">Komendy powiatowe Państwowej Straży Pożarnej </t>
  </si>
  <si>
    <t xml:space="preserve">Rezerwy ogólne i celowe </t>
  </si>
  <si>
    <t>- rezerwy celowe, w tym:</t>
  </si>
  <si>
    <t>- rezerwa na zarządzanie kryzysowe (Dz.U. z 2007 Nr 89 poz.590 art.18)</t>
  </si>
  <si>
    <t>Licea profilowane</t>
  </si>
  <si>
    <t>Centra kształcenia ustawicznego i praktycznego oraz ośrodki doskonalenia zawodowego</t>
  </si>
  <si>
    <t>Inne formy kształcenia osobno nie wymienione</t>
  </si>
  <si>
    <t>Dokształcanie i doskonalenie nauczycieli</t>
  </si>
  <si>
    <t xml:space="preserve">Placówki opiekuńczo – wychowawcze </t>
  </si>
  <si>
    <t>Rodziny zastępcze</t>
  </si>
  <si>
    <t>Powiatowe centra pomocy rodzinie</t>
  </si>
  <si>
    <t>Rehabilitacja zawodowa i społeczna osób niepełnosprawnych</t>
  </si>
  <si>
    <t>Powiatowe urzędy pracy</t>
  </si>
  <si>
    <t>Specjalne ośrodki szkolno - wychowawcze</t>
  </si>
  <si>
    <t>Poradnie psychologiczno – pedagogiczne, w tym poradnie specjalistyczne</t>
  </si>
  <si>
    <t xml:space="preserve">Placówki wychowania pozaszkolnego </t>
  </si>
  <si>
    <t>Biblioteki</t>
  </si>
  <si>
    <t>RAZEM</t>
  </si>
  <si>
    <t>Załącznik Nr 5</t>
  </si>
  <si>
    <t>z  tego:</t>
  </si>
  <si>
    <t>Wydatki majątkowe</t>
  </si>
  <si>
    <t>w  tym:</t>
  </si>
  <si>
    <t>Wynagrodzenia i pochodne od wynagrodzeń</t>
  </si>
  <si>
    <t>Pozostałe wydatki bieżące</t>
  </si>
  <si>
    <t>O2001</t>
  </si>
  <si>
    <t>- rezerwy ogólne</t>
  </si>
  <si>
    <t>Inne formy kształcenia osobno niewymienione</t>
  </si>
  <si>
    <t>Placówki opiekuńczo - wychowawcze</t>
  </si>
  <si>
    <t>Dom pomocy społecznej</t>
  </si>
  <si>
    <t>Specjalne ośrodki szkolno-wychowawcze</t>
  </si>
  <si>
    <t>Poradnie psychologiczno-pedagogiczne, w tym poradnie specjalistyczne</t>
  </si>
  <si>
    <t>Placówki wychowania pozaszkolnego</t>
  </si>
  <si>
    <t>Załącznik Nr 6</t>
  </si>
  <si>
    <t xml:space="preserve">związane z realizacją zadań z zakresu administracji rządowej </t>
  </si>
  <si>
    <t>1</t>
  </si>
  <si>
    <t>2</t>
  </si>
  <si>
    <t>3</t>
  </si>
  <si>
    <t>4</t>
  </si>
  <si>
    <t>5</t>
  </si>
  <si>
    <t>6</t>
  </si>
  <si>
    <t>7</t>
  </si>
  <si>
    <t>8</t>
  </si>
  <si>
    <t xml:space="preserve">DZIAŁALNOŚĆ USŁUGOWA </t>
  </si>
  <si>
    <t>Składki na ubezpieczenia zdrowotne oraz świadczenia dla osób nieobjętych obowiązkiem ubezpieczenia zdrowotnego</t>
  </si>
  <si>
    <t>POZOSTALE ZADANIA W ZAKRESIE POLITYKI SPOŁECZNEJ</t>
  </si>
  <si>
    <t>Załącznik Nr 7</t>
  </si>
  <si>
    <t>WYDATKI BUDŻETU POWIATU PYRZYCKIEGO</t>
  </si>
  <si>
    <t>związane z realizacją zadań z zakresu administracji rządowej</t>
  </si>
  <si>
    <t>Załącznik Nr 8</t>
  </si>
  <si>
    <t xml:space="preserve">Dział </t>
  </si>
  <si>
    <t xml:space="preserve">Rozdział </t>
  </si>
  <si>
    <t>wydatki bieżące</t>
  </si>
  <si>
    <t>Plan                     wydatków ogółem</t>
  </si>
  <si>
    <t>w tym :</t>
  </si>
  <si>
    <t>Wydatki z tutułu poręczeń i gwarancji</t>
  </si>
  <si>
    <t>Drogi publiczne powiatowe</t>
  </si>
  <si>
    <t>852</t>
  </si>
  <si>
    <t>85201</t>
  </si>
  <si>
    <t>Placówki opiekuńczo wychowawcze</t>
  </si>
  <si>
    <t xml:space="preserve">1. Plan przychodów i kosztów zakładów budżetowych: </t>
  </si>
  <si>
    <t>Powiatowy Ośrodek Dokumentacji Geodezyjno-Karograficzicznej w Pyrzycach</t>
  </si>
  <si>
    <t>Przychody</t>
  </si>
  <si>
    <t>Koszty</t>
  </si>
  <si>
    <t>Paragraf</t>
  </si>
  <si>
    <t>Nazwa podziałki klasyfikacji budżetowej</t>
  </si>
  <si>
    <t>Kwota</t>
  </si>
  <si>
    <t>Dotacja przedmiotowa z budżetu otrzymana przez zakład budżetowy</t>
  </si>
  <si>
    <t>2. Plan przychodów i kosztów gospodarstw pomocniczych:</t>
  </si>
  <si>
    <t>Gospodarstwa pomocnicze</t>
  </si>
  <si>
    <t>Przychody:</t>
  </si>
  <si>
    <t>Koszty:</t>
  </si>
  <si>
    <t>O960</t>
  </si>
  <si>
    <t xml:space="preserve">Otrzymane spadki, zapisy i darowizny w postaci pieniężnej </t>
  </si>
  <si>
    <r>
      <t xml:space="preserve">Placówki opiekuńczo-wychowawcze </t>
    </r>
    <r>
      <rPr>
        <b/>
        <i/>
        <sz val="10"/>
        <rFont val="Arial CE"/>
        <family val="0"/>
      </rPr>
      <t>- Dom Dziecka w Czernicach</t>
    </r>
  </si>
  <si>
    <t>dla szkół niepublicznych o uprawnieniach szkół publicznych</t>
  </si>
  <si>
    <t>Kwota dotacji w zł</t>
  </si>
  <si>
    <t>OŚWIATA  I  WYCHOWANIE</t>
  </si>
  <si>
    <t>Dotacja podmiotowa z budżetu dla niepublicznej jednostki systemu oświaty</t>
  </si>
  <si>
    <t>Plan przychodów i wydatków Powiatowego Funduszu Gospodarki Zasobem</t>
  </si>
  <si>
    <t>Wydatki</t>
  </si>
  <si>
    <t>Fundusz Gospodarki Zasobem Geodezyjnym i Kartograficznym</t>
  </si>
  <si>
    <t>-  wydatki bieżące</t>
  </si>
  <si>
    <t>-  wydatki majątkowe</t>
  </si>
  <si>
    <t>Stan funduszu na początku roku</t>
  </si>
  <si>
    <t>Stan funduszu na koniec roku</t>
  </si>
  <si>
    <t xml:space="preserve">Plan przychodów i wydatków Powiatowego Funduszu Ochrony Środowiska </t>
  </si>
  <si>
    <t>GOSPODARKA KOMUNALNA I OCHRONA ŚRODOWISKA</t>
  </si>
  <si>
    <t>Fundusz Ochrony Środowiska i Gospodarki Wodnej</t>
  </si>
  <si>
    <t>Załącznik Nr 13</t>
  </si>
  <si>
    <t xml:space="preserve">PRZYCHODY I ROZCHODY </t>
  </si>
  <si>
    <t xml:space="preserve"> BUDŻETU POWIATU PYRZYCKIEGO</t>
  </si>
  <si>
    <t>Lp.</t>
  </si>
  <si>
    <t>Treść</t>
  </si>
  <si>
    <t>Klasyfikacja            wg §</t>
  </si>
  <si>
    <t>Przychody ogółem</t>
  </si>
  <si>
    <t>x</t>
  </si>
  <si>
    <t>Rozchody ogółem</t>
  </si>
  <si>
    <t>Różnica przychodów nad rozchodami</t>
  </si>
  <si>
    <t xml:space="preserve">- rezerwy ogólne </t>
  </si>
  <si>
    <t>Załącznik Nr 11</t>
  </si>
  <si>
    <t>Załącznik Nr 12</t>
  </si>
  <si>
    <t xml:space="preserve">OŚWIATA I WYCHOWANIE </t>
  </si>
  <si>
    <t>Obsługa papierów wartościowych, kredytów i pożyczek jednostek samorządu terytorialnego</t>
  </si>
  <si>
    <t xml:space="preserve">NA 2009 r. </t>
  </si>
  <si>
    <t>PROGNOZOWANE DOCHODY BUDŻETU POWIATU PYRZYCKIEGO W 2009 r.</t>
  </si>
  <si>
    <t>w 2009 r.</t>
  </si>
  <si>
    <t>związane z realizacją zadań własnych w 2009 r.</t>
  </si>
  <si>
    <t>oraz innych zadań zleconych ustawami w 2009 r.</t>
  </si>
  <si>
    <t>na podstawie porozumień z organami tej administracji w 2009 r.</t>
  </si>
  <si>
    <t>DOTACJE Z  BUDŻETU POWIATU PYRZYCKIEGO W ROKU 2009</t>
  </si>
  <si>
    <t xml:space="preserve">na finansowanie zadań własnych przekazanych na podstawie </t>
  </si>
  <si>
    <t>porozumień do realizacji innym jednostkom samorządu terytorialnego</t>
  </si>
  <si>
    <t>Plany przychodów i kosztów zakładów budżetowych i gospodarstw pomocniczych jednostek budżetowych</t>
  </si>
  <si>
    <t>oraz przychodów i wydatków dochodów własnych jednostek budżetowych</t>
  </si>
  <si>
    <t xml:space="preserve">POWIATU PYRZYCKIEGO w 2009 r. </t>
  </si>
  <si>
    <t xml:space="preserve">DOTACJE Z BUDŻETU POWIATU PYRZYCKIEGO W ROKU 2009 </t>
  </si>
  <si>
    <t>Geodezyjnym i Kratograficznym Powiatu Pyrzyckiego w 2009 r.</t>
  </si>
  <si>
    <t>i Gospodarki Wodnej Powiatu Pyrzyckiego w 2009 r.</t>
  </si>
  <si>
    <t>(OGÓŁEM) W 2009 r.</t>
  </si>
  <si>
    <t xml:space="preserve">DOCHODY I WYDATKI BUDŻETU POWIATU </t>
  </si>
  <si>
    <t>0830</t>
  </si>
  <si>
    <t>Dotacje celowe otrzymane z budżetu państwa na inwestycje i zakupy inwestycyjne z zakresu administracji rządowej oraz inne zadania zlecone ustawami realizowane przez powiat</t>
  </si>
  <si>
    <t>-  przelewy redystrybucyjne</t>
  </si>
  <si>
    <t>Pozostała dzialalność</t>
  </si>
  <si>
    <t>0960</t>
  </si>
  <si>
    <t>Załącznik Nr 14</t>
  </si>
  <si>
    <t>2008</t>
  </si>
  <si>
    <t>Dotacje rozwojowe oraz środki na finansowanie Wspólnej Polityki Rolnej</t>
  </si>
  <si>
    <t>2009</t>
  </si>
  <si>
    <t>PRZETWÓRSTWO PRZEMYSŁOWE</t>
  </si>
  <si>
    <t>Rozwój kadr nowoczesnej gospodarki i przedsiębiorczości</t>
  </si>
  <si>
    <t>150</t>
  </si>
  <si>
    <t>Inne źródła (wolne środki)</t>
  </si>
  <si>
    <t>Wykup papierów wartościowych (obligacji)</t>
  </si>
  <si>
    <t>nadwyżka</t>
  </si>
  <si>
    <t xml:space="preserve">  w  2009 r.</t>
  </si>
  <si>
    <t>Spłaty pożyczek udzielonych</t>
  </si>
  <si>
    <t>Spłaty pożyczek</t>
  </si>
  <si>
    <t>Warsztaty Szkolne przy Zespole Szkół nr 2 Rolnicze Centrum Kształcenia Ustawicznego w Pyrzycach</t>
  </si>
  <si>
    <t>3. Plan przychodów i wydatków dochodów własnych jednostek budżetowych - Dom Dziecka w Czernicach</t>
  </si>
  <si>
    <t>600</t>
  </si>
  <si>
    <t>60014</t>
  </si>
  <si>
    <t>6610</t>
  </si>
  <si>
    <t>Dotacje celowe otrzymane z gminy na inwestycje i zakupy inwestycyjne realizowane na podstawie porozumień (umów) między jednostkami samorządu terytorialnego</t>
  </si>
  <si>
    <r>
      <t xml:space="preserve">Dotacje celowe otrzymane z gminy na inwestycje i zakupy inwestycyjne realizowane na podstawie porozumień (umów) między jednostkami samorządu terytorialnego </t>
    </r>
    <r>
      <rPr>
        <b/>
        <sz val="10"/>
        <color indexed="9"/>
        <rFont val="Arial CE"/>
        <family val="0"/>
      </rPr>
      <t>§ 6610</t>
    </r>
  </si>
  <si>
    <t>Drogi publiczne gminne</t>
  </si>
  <si>
    <t>60016</t>
  </si>
  <si>
    <t>do uchwały Nr XXII/107/08</t>
  </si>
  <si>
    <t>z dnia 17 grudnia 2008 r.</t>
  </si>
  <si>
    <t xml:space="preserve">do uchwały Nr </t>
  </si>
  <si>
    <t xml:space="preserve">z dnia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</si>
</sst>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</numFmts>
  <fonts count="6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sz val="12"/>
      <name val="Times New Roman"/>
      <family val="1"/>
    </font>
    <font>
      <i/>
      <u val="single"/>
      <sz val="8"/>
      <name val="Arial CE"/>
      <family val="0"/>
    </font>
    <font>
      <b/>
      <i/>
      <sz val="10"/>
      <name val="Times New Roman"/>
      <family val="1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9"/>
      <name val="Times New Roman"/>
      <family val="1"/>
    </font>
    <font>
      <i/>
      <sz val="9"/>
      <name val="Arial CE"/>
      <family val="0"/>
    </font>
    <font>
      <sz val="10"/>
      <color indexed="10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i/>
      <sz val="11"/>
      <name val="Times New Roman"/>
      <family val="1"/>
    </font>
    <font>
      <i/>
      <u val="single"/>
      <sz val="8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11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vertical="center"/>
    </xf>
    <xf numFmtId="0" fontId="11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vertical="center" wrapText="1"/>
    </xf>
    <xf numFmtId="0" fontId="11" fillId="0" borderId="28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wrapText="1"/>
    </xf>
    <xf numFmtId="3" fontId="11" fillId="0" borderId="27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3" fontId="12" fillId="0" borderId="28" xfId="0" applyNumberFormat="1" applyFont="1" applyBorder="1" applyAlignment="1">
      <alignment/>
    </xf>
    <xf numFmtId="10" fontId="1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0" fontId="12" fillId="0" borderId="28" xfId="0" applyFont="1" applyBorder="1" applyAlignment="1">
      <alignment horizontal="center" vertical="center"/>
    </xf>
    <xf numFmtId="3" fontId="12" fillId="0" borderId="28" xfId="0" applyNumberFormat="1" applyFont="1" applyFill="1" applyBorder="1" applyAlignment="1">
      <alignment/>
    </xf>
    <xf numFmtId="10" fontId="0" fillId="0" borderId="42" xfId="0" applyNumberFormat="1" applyFont="1" applyBorder="1" applyAlignment="1">
      <alignment horizontal="center"/>
    </xf>
    <xf numFmtId="10" fontId="0" fillId="0" borderId="43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10" fontId="12" fillId="0" borderId="45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3" fontId="11" fillId="0" borderId="28" xfId="0" applyNumberFormat="1" applyFont="1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3" fontId="0" fillId="0" borderId="29" xfId="0" applyNumberFormat="1" applyFont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4" xfId="0" applyBorder="1" applyAlignment="1">
      <alignment wrapText="1"/>
    </xf>
    <xf numFmtId="3" fontId="0" fillId="0" borderId="24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3" fontId="0" fillId="0" borderId="26" xfId="0" applyNumberFormat="1" applyFill="1" applyBorder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 wrapText="1"/>
    </xf>
    <xf numFmtId="3" fontId="11" fillId="0" borderId="5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54" xfId="0" applyBorder="1" applyAlignment="1">
      <alignment vertical="center" wrapText="1"/>
    </xf>
    <xf numFmtId="3" fontId="0" fillId="0" borderId="22" xfId="0" applyNumberFormat="1" applyBorder="1" applyAlignment="1">
      <alignment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3" fontId="11" fillId="0" borderId="55" xfId="0" applyNumberFormat="1" applyFont="1" applyBorder="1" applyAlignment="1">
      <alignment/>
    </xf>
    <xf numFmtId="3" fontId="11" fillId="0" borderId="57" xfId="0" applyNumberFormat="1" applyFont="1" applyFill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58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3" fontId="0" fillId="0" borderId="15" xfId="0" applyNumberFormat="1" applyBorder="1" applyAlignment="1">
      <alignment/>
    </xf>
    <xf numFmtId="3" fontId="0" fillId="0" borderId="61" xfId="0" applyNumberForma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3" fontId="0" fillId="0" borderId="21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11" fillId="0" borderId="55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62" xfId="0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vertical="center" wrapText="1"/>
    </xf>
    <xf numFmtId="3" fontId="11" fillId="0" borderId="64" xfId="0" applyNumberFormat="1" applyFont="1" applyBorder="1" applyAlignment="1">
      <alignment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3" fontId="0" fillId="0" borderId="58" xfId="0" applyNumberForma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left" vertical="top"/>
    </xf>
    <xf numFmtId="0" fontId="0" fillId="0" borderId="74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left" vertical="top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69" xfId="0" applyFont="1" applyBorder="1" applyAlignment="1">
      <alignment vertical="center" wrapText="1"/>
    </xf>
    <xf numFmtId="3" fontId="0" fillId="0" borderId="68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12" fillId="0" borderId="49" xfId="0" applyNumberFormat="1" applyFont="1" applyBorder="1" applyAlignment="1">
      <alignment/>
    </xf>
    <xf numFmtId="0" fontId="0" fillId="0" borderId="73" xfId="0" applyFont="1" applyBorder="1" applyAlignment="1">
      <alignment horizontal="left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Fill="1" applyBorder="1" applyAlignment="1">
      <alignment/>
    </xf>
    <xf numFmtId="3" fontId="12" fillId="0" borderId="7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/>
    </xf>
    <xf numFmtId="3" fontId="4" fillId="0" borderId="39" xfId="0" applyNumberFormat="1" applyFont="1" applyBorder="1" applyAlignment="1">
      <alignment/>
    </xf>
    <xf numFmtId="0" fontId="5" fillId="0" borderId="30" xfId="0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right" vertical="center"/>
    </xf>
    <xf numFmtId="49" fontId="5" fillId="0" borderId="30" xfId="0" applyNumberFormat="1" applyFont="1" applyBorder="1" applyAlignment="1">
      <alignment horizontal="left" vertical="center" wrapText="1"/>
    </xf>
    <xf numFmtId="3" fontId="5" fillId="0" borderId="72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2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38" xfId="0" applyFont="1" applyBorder="1" applyAlignment="1">
      <alignment/>
    </xf>
    <xf numFmtId="0" fontId="5" fillId="0" borderId="83" xfId="0" applyFont="1" applyBorder="1" applyAlignment="1">
      <alignment wrapText="1"/>
    </xf>
    <xf numFmtId="3" fontId="4" fillId="0" borderId="22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84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6" xfId="0" applyNumberFormat="1" applyFont="1" applyFill="1" applyBorder="1" applyAlignment="1">
      <alignment vertical="center" wrapText="1"/>
    </xf>
    <xf numFmtId="0" fontId="0" fillId="0" borderId="48" xfId="0" applyBorder="1" applyAlignment="1">
      <alignment/>
    </xf>
    <xf numFmtId="3" fontId="0" fillId="0" borderId="0" xfId="0" applyNumberFormat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0" fillId="0" borderId="48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11" fillId="0" borderId="8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9" fillId="0" borderId="0" xfId="0" applyFont="1" applyAlignment="1">
      <alignment/>
    </xf>
    <xf numFmtId="3" fontId="2" fillId="0" borderId="19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wrapText="1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wrapText="1"/>
    </xf>
    <xf numFmtId="0" fontId="0" fillId="0" borderId="47" xfId="0" applyFill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11" fillId="0" borderId="27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3" fontId="11" fillId="0" borderId="50" xfId="0" applyNumberFormat="1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 horizontal="center"/>
    </xf>
    <xf numFmtId="0" fontId="0" fillId="0" borderId="87" xfId="0" applyFont="1" applyFill="1" applyBorder="1" applyAlignment="1">
      <alignment wrapText="1"/>
    </xf>
    <xf numFmtId="49" fontId="0" fillId="0" borderId="2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10" fillId="33" borderId="25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/>
    </xf>
    <xf numFmtId="3" fontId="0" fillId="33" borderId="25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49" fontId="24" fillId="33" borderId="0" xfId="0" applyNumberFormat="1" applyFont="1" applyFill="1" applyBorder="1" applyAlignment="1">
      <alignment horizontal="center" vertical="center" wrapText="1"/>
    </xf>
    <xf numFmtId="3" fontId="11" fillId="33" borderId="51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11" fillId="33" borderId="55" xfId="0" applyNumberFormat="1" applyFont="1" applyFill="1" applyBorder="1" applyAlignment="1">
      <alignment/>
    </xf>
    <xf numFmtId="3" fontId="0" fillId="33" borderId="58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3" fontId="11" fillId="33" borderId="64" xfId="0" applyNumberFormat="1" applyFont="1" applyFill="1" applyBorder="1" applyAlignment="1">
      <alignment/>
    </xf>
    <xf numFmtId="49" fontId="24" fillId="33" borderId="72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/>
    </xf>
    <xf numFmtId="0" fontId="10" fillId="33" borderId="6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3" fontId="0" fillId="0" borderId="88" xfId="0" applyNumberFormat="1" applyFont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12" fillId="0" borderId="72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84" xfId="0" applyNumberFormat="1" applyFont="1" applyFill="1" applyBorder="1" applyAlignment="1">
      <alignment horizontal="right" vertical="center"/>
    </xf>
    <xf numFmtId="3" fontId="12" fillId="0" borderId="49" xfId="0" applyNumberFormat="1" applyFont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/>
    </xf>
    <xf numFmtId="49" fontId="5" fillId="0" borderId="30" xfId="0" applyNumberFormat="1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3" fontId="0" fillId="0" borderId="64" xfId="0" applyNumberFormat="1" applyBorder="1" applyAlignment="1">
      <alignment/>
    </xf>
    <xf numFmtId="3" fontId="0" fillId="33" borderId="64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85" xfId="0" applyNumberFormat="1" applyFill="1" applyBorder="1" applyAlignment="1">
      <alignment/>
    </xf>
    <xf numFmtId="49" fontId="8" fillId="0" borderId="30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21" fillId="0" borderId="30" xfId="0" applyFont="1" applyFill="1" applyBorder="1" applyAlignment="1">
      <alignment horizontal="center" vertical="center"/>
    </xf>
    <xf numFmtId="3" fontId="11" fillId="34" borderId="28" xfId="0" applyNumberFormat="1" applyFont="1" applyFill="1" applyBorder="1" applyAlignment="1">
      <alignment/>
    </xf>
    <xf numFmtId="3" fontId="11" fillId="34" borderId="3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3" fontId="12" fillId="34" borderId="10" xfId="0" applyNumberFormat="1" applyFont="1" applyFill="1" applyBorder="1" applyAlignment="1">
      <alignment/>
    </xf>
    <xf numFmtId="49" fontId="11" fillId="0" borderId="28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3" fontId="11" fillId="34" borderId="10" xfId="0" applyNumberFormat="1" applyFont="1" applyFill="1" applyBorder="1" applyAlignment="1">
      <alignment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3" fontId="5" fillId="0" borderId="42" xfId="0" applyNumberFormat="1" applyFont="1" applyBorder="1" applyAlignment="1">
      <alignment/>
    </xf>
    <xf numFmtId="3" fontId="25" fillId="0" borderId="79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3" fontId="16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2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left" vertical="center" wrapText="1"/>
    </xf>
    <xf numFmtId="49" fontId="30" fillId="0" borderId="26" xfId="0" applyNumberFormat="1" applyFont="1" applyFill="1" applyBorder="1" applyAlignment="1">
      <alignment horizontal="left" vertical="center" wrapText="1"/>
    </xf>
    <xf numFmtId="3" fontId="11" fillId="0" borderId="28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horizontal="right" vertical="center"/>
    </xf>
    <xf numFmtId="3" fontId="11" fillId="33" borderId="37" xfId="0" applyNumberFormat="1" applyFont="1" applyFill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33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33" borderId="93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33" borderId="50" xfId="0" applyNumberFormat="1" applyFont="1" applyFill="1" applyBorder="1" applyAlignment="1">
      <alignment horizontal="right" vertical="center"/>
    </xf>
    <xf numFmtId="3" fontId="11" fillId="33" borderId="49" xfId="0" applyNumberFormat="1" applyFont="1" applyFill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right" vertical="center"/>
    </xf>
    <xf numFmtId="49" fontId="5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3" fontId="25" fillId="0" borderId="72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0" borderId="26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3" fontId="11" fillId="0" borderId="4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3" fontId="11" fillId="34" borderId="47" xfId="0" applyNumberFormat="1" applyFont="1" applyFill="1" applyBorder="1" applyAlignment="1">
      <alignment/>
    </xf>
    <xf numFmtId="0" fontId="23" fillId="0" borderId="26" xfId="0" applyFont="1" applyFill="1" applyBorder="1" applyAlignment="1">
      <alignment vertical="center" wrapText="1"/>
    </xf>
    <xf numFmtId="3" fontId="67" fillId="0" borderId="0" xfId="0" applyNumberFormat="1" applyFont="1" applyBorder="1" applyAlignment="1">
      <alignment horizontal="left"/>
    </xf>
    <xf numFmtId="3" fontId="67" fillId="0" borderId="20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 horizontal="center"/>
    </xf>
    <xf numFmtId="0" fontId="0" fillId="0" borderId="24" xfId="0" applyFill="1" applyBorder="1" applyAlignment="1">
      <alignment vertical="center" wrapText="1"/>
    </xf>
    <xf numFmtId="3" fontId="0" fillId="34" borderId="29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49" fontId="20" fillId="0" borderId="30" xfId="0" applyNumberFormat="1" applyFont="1" applyFill="1" applyBorder="1" applyAlignment="1">
      <alignment vertical="center" wrapText="1"/>
    </xf>
    <xf numFmtId="3" fontId="0" fillId="34" borderId="30" xfId="0" applyNumberFormat="1" applyFont="1" applyFill="1" applyBorder="1" applyAlignment="1">
      <alignment/>
    </xf>
    <xf numFmtId="3" fontId="0" fillId="34" borderId="31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30" xfId="0" applyNumberFormat="1" applyFill="1" applyBorder="1" applyAlignment="1">
      <alignment vertical="center" wrapText="1"/>
    </xf>
    <xf numFmtId="49" fontId="0" fillId="0" borderId="24" xfId="0" applyNumberFormat="1" applyFill="1" applyBorder="1" applyAlignment="1">
      <alignment vertical="center" wrapText="1"/>
    </xf>
    <xf numFmtId="3" fontId="0" fillId="34" borderId="26" xfId="0" applyNumberFormat="1" applyFont="1" applyFill="1" applyBorder="1" applyAlignment="1">
      <alignment/>
    </xf>
    <xf numFmtId="3" fontId="11" fillId="34" borderId="27" xfId="0" applyNumberFormat="1" applyFon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3" fontId="11" fillId="34" borderId="50" xfId="0" applyNumberFormat="1" applyFont="1" applyFill="1" applyBorder="1" applyAlignment="1">
      <alignment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right" vertical="center"/>
    </xf>
    <xf numFmtId="3" fontId="8" fillId="0" borderId="39" xfId="0" applyNumberFormat="1" applyFont="1" applyFill="1" applyBorder="1" applyAlignment="1">
      <alignment horizontal="right" vertical="center"/>
    </xf>
    <xf numFmtId="3" fontId="0" fillId="35" borderId="77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95" xfId="0" applyNumberFormat="1" applyFont="1" applyFill="1" applyBorder="1" applyAlignment="1">
      <alignment horizontal="left" wrapText="1"/>
    </xf>
    <xf numFmtId="0" fontId="7" fillId="0" borderId="60" xfId="0" applyNumberFormat="1" applyFont="1" applyFill="1" applyBorder="1" applyAlignment="1">
      <alignment horizontal="left" wrapText="1"/>
    </xf>
    <xf numFmtId="0" fontId="7" fillId="0" borderId="61" xfId="0" applyNumberFormat="1" applyFont="1" applyFill="1" applyBorder="1" applyAlignment="1">
      <alignment horizontal="left" wrapTex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96" xfId="0" applyNumberFormat="1" applyFont="1" applyBorder="1" applyAlignment="1">
      <alignment horizontal="center" vertical="center"/>
    </xf>
    <xf numFmtId="0" fontId="11" fillId="0" borderId="9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9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left"/>
    </xf>
    <xf numFmtId="0" fontId="19" fillId="0" borderId="60" xfId="0" applyFont="1" applyFill="1" applyBorder="1" applyAlignment="1">
      <alignment horizontal="left"/>
    </xf>
    <xf numFmtId="0" fontId="19" fillId="0" borderId="61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61" xfId="0" applyFont="1" applyBorder="1" applyAlignment="1">
      <alignment horizontal="left"/>
    </xf>
    <xf numFmtId="0" fontId="19" fillId="33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00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left" vertical="center"/>
    </xf>
    <xf numFmtId="49" fontId="19" fillId="33" borderId="21" xfId="0" applyNumberFormat="1" applyFont="1" applyFill="1" applyBorder="1" applyAlignment="1">
      <alignment horizontal="center" vertical="center" wrapText="1"/>
    </xf>
    <xf numFmtId="49" fontId="19" fillId="33" borderId="58" xfId="0" applyNumberFormat="1" applyFont="1" applyFill="1" applyBorder="1" applyAlignment="1">
      <alignment horizontal="center" vertical="center" wrapText="1"/>
    </xf>
    <xf numFmtId="49" fontId="19" fillId="33" borderId="66" xfId="0" applyNumberFormat="1" applyFont="1" applyFill="1" applyBorder="1" applyAlignment="1">
      <alignment horizontal="center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49" fontId="19" fillId="33" borderId="100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101" xfId="0" applyNumberFormat="1" applyFont="1" applyBorder="1" applyAlignment="1">
      <alignment horizontal="left" vertical="center" wrapText="1"/>
    </xf>
    <xf numFmtId="49" fontId="19" fillId="0" borderId="102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00" xfId="0" applyNumberFormat="1" applyFont="1" applyBorder="1" applyAlignment="1">
      <alignment horizontal="center" vertical="center"/>
    </xf>
    <xf numFmtId="3" fontId="11" fillId="0" borderId="71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0" fontId="19" fillId="0" borderId="71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72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0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7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10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3" fontId="0" fillId="35" borderId="103" xfId="0" applyNumberFormat="1" applyFont="1" applyFill="1" applyBorder="1" applyAlignment="1">
      <alignment vertical="center"/>
    </xf>
    <xf numFmtId="3" fontId="0" fillId="35" borderId="7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" fillId="0" borderId="29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0" fillId="0" borderId="9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3" fontId="5" fillId="0" borderId="21" xfId="0" applyNumberFormat="1" applyFont="1" applyBorder="1" applyAlignment="1">
      <alignment/>
    </xf>
    <xf numFmtId="0" fontId="0" fillId="0" borderId="66" xfId="0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73" xfId="0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0" fontId="4" fillId="0" borderId="106" xfId="0" applyFont="1" applyBorder="1" applyAlignment="1">
      <alignment/>
    </xf>
    <xf numFmtId="0" fontId="0" fillId="0" borderId="48" xfId="0" applyBorder="1" applyAlignment="1">
      <alignment/>
    </xf>
    <xf numFmtId="0" fontId="0" fillId="0" borderId="101" xfId="0" applyBorder="1" applyAlignment="1">
      <alignment/>
    </xf>
    <xf numFmtId="49" fontId="25" fillId="0" borderId="107" xfId="0" applyNumberFormat="1" applyFont="1" applyBorder="1" applyAlignment="1">
      <alignment horizontal="center" vertical="center"/>
    </xf>
    <xf numFmtId="49" fontId="11" fillId="0" borderId="108" xfId="0" applyNumberFormat="1" applyFont="1" applyBorder="1" applyAlignment="1">
      <alignment horizontal="center" vertical="center"/>
    </xf>
    <xf numFmtId="49" fontId="11" fillId="0" borderId="109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zoomScalePageLayoutView="0" workbookViewId="0" topLeftCell="A1">
      <selection activeCell="J29" sqref="J29"/>
    </sheetView>
  </sheetViews>
  <sheetFormatPr defaultColWidth="9.00390625" defaultRowHeight="12.75"/>
  <cols>
    <col min="2" max="2" width="74.625" style="0" customWidth="1"/>
    <col min="3" max="3" width="12.125" style="0" customWidth="1"/>
    <col min="4" max="4" width="12.375" style="0" customWidth="1"/>
    <col min="5" max="5" width="13.75390625" style="0" customWidth="1"/>
    <col min="6" max="6" width="12.625" style="0" customWidth="1"/>
    <col min="8" max="8" width="9.25390625" style="0" bestFit="1" customWidth="1"/>
  </cols>
  <sheetData>
    <row r="1" spans="1:6" ht="12.75">
      <c r="A1" s="10"/>
      <c r="B1" s="10"/>
      <c r="C1" s="10"/>
      <c r="D1" s="10"/>
      <c r="E1" s="10" t="s">
        <v>20</v>
      </c>
      <c r="F1" s="10"/>
    </row>
    <row r="2" spans="1:6" ht="12.75">
      <c r="A2" s="10"/>
      <c r="B2" s="10"/>
      <c r="C2" s="10"/>
      <c r="D2" s="10"/>
      <c r="E2" s="10" t="s">
        <v>315</v>
      </c>
      <c r="F2" s="10"/>
    </row>
    <row r="3" spans="1:6" ht="12.75">
      <c r="A3" s="10"/>
      <c r="C3" s="10"/>
      <c r="D3" s="10"/>
      <c r="E3" s="10" t="s">
        <v>21</v>
      </c>
      <c r="F3" s="10"/>
    </row>
    <row r="4" spans="1:6" ht="12.75">
      <c r="A4" s="10"/>
      <c r="B4" s="10"/>
      <c r="C4" s="10"/>
      <c r="D4" s="10"/>
      <c r="E4" s="11" t="s">
        <v>316</v>
      </c>
      <c r="F4" s="10"/>
    </row>
    <row r="5" spans="1:6" ht="12.75">
      <c r="A5" s="10"/>
      <c r="B5" s="10"/>
      <c r="C5" s="10"/>
      <c r="D5" s="10"/>
      <c r="E5" s="11"/>
      <c r="F5" s="10"/>
    </row>
    <row r="6" spans="1:6" ht="12.75">
      <c r="A6" s="10"/>
      <c r="B6" s="10"/>
      <c r="C6" s="10"/>
      <c r="D6" s="10"/>
      <c r="E6" s="11"/>
      <c r="F6" s="10"/>
    </row>
    <row r="7" spans="1:6" ht="15.75">
      <c r="A7" s="510" t="s">
        <v>287</v>
      </c>
      <c r="B7" s="511"/>
      <c r="C7" s="511"/>
      <c r="D7" s="511"/>
      <c r="E7" s="511"/>
      <c r="F7" s="511"/>
    </row>
    <row r="8" spans="1:6" ht="15.75">
      <c r="A8" s="510" t="s">
        <v>286</v>
      </c>
      <c r="B8" s="511"/>
      <c r="C8" s="511"/>
      <c r="D8" s="511"/>
      <c r="E8" s="511"/>
      <c r="F8" s="511"/>
    </row>
    <row r="9" spans="1:6" ht="18" customHeight="1" thickBot="1">
      <c r="A9" s="10"/>
      <c r="B9" s="10"/>
      <c r="C9" s="10"/>
      <c r="D9" s="10"/>
      <c r="E9" s="10"/>
      <c r="F9" s="10"/>
    </row>
    <row r="10" spans="1:6" ht="15" thickBot="1">
      <c r="A10" s="514" t="s">
        <v>0</v>
      </c>
      <c r="B10" s="514" t="s">
        <v>1</v>
      </c>
      <c r="C10" s="512" t="s">
        <v>2</v>
      </c>
      <c r="D10" s="513"/>
      <c r="E10" s="512" t="s">
        <v>3</v>
      </c>
      <c r="F10" s="513"/>
    </row>
    <row r="11" spans="1:6" ht="43.5" thickBot="1">
      <c r="A11" s="515"/>
      <c r="B11" s="515"/>
      <c r="C11" s="13" t="s">
        <v>4</v>
      </c>
      <c r="D11" s="14" t="s">
        <v>16</v>
      </c>
      <c r="E11" s="13" t="s">
        <v>4</v>
      </c>
      <c r="F11" s="14" t="s">
        <v>16</v>
      </c>
    </row>
    <row r="12" spans="1:6" ht="15">
      <c r="A12" s="39" t="s">
        <v>22</v>
      </c>
      <c r="B12" s="33" t="s">
        <v>5</v>
      </c>
      <c r="C12" s="15">
        <v>85000</v>
      </c>
      <c r="D12" s="16">
        <v>85000</v>
      </c>
      <c r="E12" s="17">
        <v>85000</v>
      </c>
      <c r="F12" s="18">
        <v>85000</v>
      </c>
    </row>
    <row r="13" spans="1:6" ht="15">
      <c r="A13" s="40" t="s">
        <v>23</v>
      </c>
      <c r="B13" s="35" t="s">
        <v>6</v>
      </c>
      <c r="C13" s="19">
        <v>19500</v>
      </c>
      <c r="D13" s="20">
        <v>0</v>
      </c>
      <c r="E13" s="21">
        <v>19500</v>
      </c>
      <c r="F13" s="22">
        <v>0</v>
      </c>
    </row>
    <row r="14" spans="1:6" ht="15">
      <c r="A14" s="40" t="s">
        <v>299</v>
      </c>
      <c r="B14" s="35" t="s">
        <v>297</v>
      </c>
      <c r="C14" s="19">
        <v>329202</v>
      </c>
      <c r="D14" s="20">
        <v>0</v>
      </c>
      <c r="E14" s="21">
        <v>329202</v>
      </c>
      <c r="F14" s="22">
        <v>0</v>
      </c>
    </row>
    <row r="15" spans="1:6" ht="15">
      <c r="A15" s="34">
        <v>600</v>
      </c>
      <c r="B15" s="35" t="s">
        <v>7</v>
      </c>
      <c r="C15" s="19">
        <v>100000</v>
      </c>
      <c r="D15" s="20">
        <v>0</v>
      </c>
      <c r="E15" s="21">
        <f>2368000-268000+100000</f>
        <v>2200000</v>
      </c>
      <c r="F15" s="22">
        <v>0</v>
      </c>
    </row>
    <row r="16" spans="1:6" ht="15">
      <c r="A16" s="34">
        <v>630</v>
      </c>
      <c r="B16" s="35" t="s">
        <v>19</v>
      </c>
      <c r="C16" s="19">
        <v>0</v>
      </c>
      <c r="D16" s="20">
        <v>0</v>
      </c>
      <c r="E16" s="21">
        <v>20000</v>
      </c>
      <c r="F16" s="22">
        <v>0</v>
      </c>
    </row>
    <row r="17" spans="1:6" ht="15">
      <c r="A17" s="34">
        <v>700</v>
      </c>
      <c r="B17" s="35" t="s">
        <v>8</v>
      </c>
      <c r="C17" s="19">
        <f>512000+100000</f>
        <v>612000</v>
      </c>
      <c r="D17" s="20">
        <v>12000</v>
      </c>
      <c r="E17" s="21">
        <v>42000</v>
      </c>
      <c r="F17" s="22">
        <v>12000</v>
      </c>
    </row>
    <row r="18" spans="1:6" ht="15">
      <c r="A18" s="34">
        <v>710</v>
      </c>
      <c r="B18" s="35" t="s">
        <v>9</v>
      </c>
      <c r="C18" s="19">
        <v>352100</v>
      </c>
      <c r="D18" s="20">
        <v>352100</v>
      </c>
      <c r="E18" s="21">
        <f>444100+2000</f>
        <v>446100</v>
      </c>
      <c r="F18" s="22">
        <v>352100</v>
      </c>
    </row>
    <row r="19" spans="1:6" ht="15">
      <c r="A19" s="34">
        <v>750</v>
      </c>
      <c r="B19" s="35" t="s">
        <v>27</v>
      </c>
      <c r="C19" s="19">
        <v>354200</v>
      </c>
      <c r="D19" s="20">
        <v>116200</v>
      </c>
      <c r="E19" s="21">
        <f>4512985-59951-5000</f>
        <v>4448034</v>
      </c>
      <c r="F19" s="22">
        <v>116200</v>
      </c>
    </row>
    <row r="20" spans="1:6" ht="15">
      <c r="A20" s="34">
        <v>754</v>
      </c>
      <c r="B20" s="35" t="s">
        <v>10</v>
      </c>
      <c r="C20" s="19">
        <v>2767015</v>
      </c>
      <c r="D20" s="20">
        <v>2767000</v>
      </c>
      <c r="E20" s="21">
        <f>2842000-5000</f>
        <v>2837000</v>
      </c>
      <c r="F20" s="22">
        <v>2767000</v>
      </c>
    </row>
    <row r="21" spans="1:6" ht="45">
      <c r="A21" s="34">
        <v>756</v>
      </c>
      <c r="B21" s="36" t="s">
        <v>24</v>
      </c>
      <c r="C21" s="19">
        <f>4517206+10000+60000</f>
        <v>4587206</v>
      </c>
      <c r="D21" s="20">
        <v>0</v>
      </c>
      <c r="E21" s="21">
        <v>0</v>
      </c>
      <c r="F21" s="22">
        <v>0</v>
      </c>
    </row>
    <row r="22" spans="1:6" ht="15">
      <c r="A22" s="34">
        <v>757</v>
      </c>
      <c r="B22" s="35" t="s">
        <v>11</v>
      </c>
      <c r="C22" s="19">
        <v>0</v>
      </c>
      <c r="D22" s="20">
        <v>0</v>
      </c>
      <c r="E22" s="21">
        <f>1389000-267000-2000</f>
        <v>1120000</v>
      </c>
      <c r="F22" s="22">
        <v>0</v>
      </c>
    </row>
    <row r="23" spans="1:6" ht="15">
      <c r="A23" s="34">
        <v>758</v>
      </c>
      <c r="B23" s="35" t="s">
        <v>12</v>
      </c>
      <c r="C23" s="19">
        <v>18081414</v>
      </c>
      <c r="D23" s="20">
        <v>0</v>
      </c>
      <c r="E23" s="21">
        <v>1405348</v>
      </c>
      <c r="F23" s="22">
        <v>0</v>
      </c>
    </row>
    <row r="24" spans="1:6" ht="15">
      <c r="A24" s="34">
        <v>801</v>
      </c>
      <c r="B24" s="35" t="s">
        <v>269</v>
      </c>
      <c r="C24" s="23">
        <v>140400</v>
      </c>
      <c r="D24" s="22">
        <v>0</v>
      </c>
      <c r="E24" s="21">
        <v>8742547</v>
      </c>
      <c r="F24" s="22">
        <v>0</v>
      </c>
    </row>
    <row r="25" spans="1:6" ht="15">
      <c r="A25" s="34">
        <v>851</v>
      </c>
      <c r="B25" s="35" t="s">
        <v>13</v>
      </c>
      <c r="C25" s="24">
        <v>1068000</v>
      </c>
      <c r="D25" s="25">
        <v>1068000</v>
      </c>
      <c r="E25" s="26">
        <f>1068000+500000</f>
        <v>1568000</v>
      </c>
      <c r="F25" s="25">
        <v>1068000</v>
      </c>
    </row>
    <row r="26" spans="1:6" ht="15">
      <c r="A26" s="34">
        <v>852</v>
      </c>
      <c r="B26" s="35" t="s">
        <v>17</v>
      </c>
      <c r="C26" s="24">
        <f>2734500+50000</f>
        <v>2784500</v>
      </c>
      <c r="D26" s="25">
        <v>7000</v>
      </c>
      <c r="E26" s="26">
        <f>5581421-50000-9314</f>
        <v>5522107</v>
      </c>
      <c r="F26" s="25">
        <v>7000</v>
      </c>
    </row>
    <row r="27" spans="1:6" ht="15">
      <c r="A27" s="34">
        <v>853</v>
      </c>
      <c r="B27" s="35" t="s">
        <v>18</v>
      </c>
      <c r="C27" s="19">
        <v>973250</v>
      </c>
      <c r="D27" s="20">
        <v>49000</v>
      </c>
      <c r="E27" s="21">
        <f>1772438-30686</f>
        <v>1741752</v>
      </c>
      <c r="F27" s="22">
        <v>49000</v>
      </c>
    </row>
    <row r="28" spans="1:6" ht="15">
      <c r="A28" s="37">
        <v>854</v>
      </c>
      <c r="B28" s="38" t="s">
        <v>14</v>
      </c>
      <c r="C28" s="19">
        <v>583500</v>
      </c>
      <c r="D28" s="20">
        <v>0</v>
      </c>
      <c r="E28" s="21">
        <v>2112597</v>
      </c>
      <c r="F28" s="22">
        <v>0</v>
      </c>
    </row>
    <row r="29" spans="1:6" ht="15">
      <c r="A29" s="37">
        <v>921</v>
      </c>
      <c r="B29" s="38" t="s">
        <v>25</v>
      </c>
      <c r="C29" s="19">
        <v>0</v>
      </c>
      <c r="D29" s="20">
        <v>0</v>
      </c>
      <c r="E29" s="21">
        <v>42000</v>
      </c>
      <c r="F29" s="22">
        <v>0</v>
      </c>
    </row>
    <row r="30" spans="1:6" ht="15.75" thickBot="1">
      <c r="A30" s="37">
        <v>926</v>
      </c>
      <c r="B30" s="38" t="s">
        <v>26</v>
      </c>
      <c r="C30" s="19">
        <v>0</v>
      </c>
      <c r="D30" s="20">
        <v>0</v>
      </c>
      <c r="E30" s="21">
        <v>90000</v>
      </c>
      <c r="F30" s="22">
        <v>0</v>
      </c>
    </row>
    <row r="31" spans="1:6" ht="15.75" thickBot="1">
      <c r="A31" s="27"/>
      <c r="B31" s="28" t="s">
        <v>15</v>
      </c>
      <c r="C31" s="322">
        <f>SUM(C12:C30)</f>
        <v>32837287</v>
      </c>
      <c r="D31" s="322">
        <f>SUM(D12:D30)</f>
        <v>4456300</v>
      </c>
      <c r="E31" s="322">
        <f>SUM(E12:E30)</f>
        <v>32771187</v>
      </c>
      <c r="F31" s="29">
        <f>SUM(F12:F30)</f>
        <v>4456300</v>
      </c>
    </row>
    <row r="32" spans="1:6" ht="15">
      <c r="A32" s="30"/>
      <c r="B32" s="483" t="s">
        <v>302</v>
      </c>
      <c r="C32" s="484">
        <f>C31-E31</f>
        <v>66100</v>
      </c>
      <c r="D32" s="31"/>
      <c r="E32" s="31"/>
      <c r="F32" s="32"/>
    </row>
    <row r="33" spans="1:6" ht="15">
      <c r="A33" s="8"/>
      <c r="B33" s="9"/>
      <c r="C33" s="6"/>
      <c r="D33" s="6"/>
      <c r="E33" s="6"/>
      <c r="F33" s="6"/>
    </row>
    <row r="34" spans="1:6" ht="15">
      <c r="A34" s="8"/>
      <c r="B34" s="9"/>
      <c r="C34" s="6"/>
      <c r="D34" s="6"/>
      <c r="E34" s="6"/>
      <c r="F34" s="6"/>
    </row>
    <row r="35" spans="1:6" ht="15">
      <c r="A35" s="8"/>
      <c r="B35" s="9"/>
      <c r="C35" s="6"/>
      <c r="D35" s="6"/>
      <c r="E35" s="6"/>
      <c r="F35" s="6"/>
    </row>
    <row r="36" spans="1:6" ht="15">
      <c r="A36" s="8"/>
      <c r="B36" s="9"/>
      <c r="C36" s="6"/>
      <c r="D36" s="6"/>
      <c r="E36" s="6"/>
      <c r="F36" s="6"/>
    </row>
    <row r="37" spans="1:6" ht="14.25">
      <c r="A37" s="3"/>
      <c r="B37" s="6"/>
      <c r="C37" s="6"/>
      <c r="D37" s="6"/>
      <c r="E37" s="6"/>
      <c r="F37" s="6"/>
    </row>
    <row r="38" spans="1:6" ht="14.25">
      <c r="A38" s="3"/>
      <c r="B38" s="6"/>
      <c r="C38" s="6"/>
      <c r="D38" s="6"/>
      <c r="E38" s="6"/>
      <c r="F38" s="6"/>
    </row>
    <row r="39" spans="1:6" ht="14.25">
      <c r="A39" s="3"/>
      <c r="B39" s="5"/>
      <c r="C39" s="6"/>
      <c r="D39" s="6"/>
      <c r="E39" s="6"/>
      <c r="F39" s="6"/>
    </row>
    <row r="40" spans="1:6" ht="14.25">
      <c r="A40" s="3"/>
      <c r="B40" s="5"/>
      <c r="C40" s="6"/>
      <c r="D40" s="6"/>
      <c r="E40" s="6"/>
      <c r="F40" s="6"/>
    </row>
    <row r="41" spans="1:6" ht="14.25">
      <c r="A41" s="3"/>
      <c r="B41" s="5"/>
      <c r="C41" s="6"/>
      <c r="D41" s="6"/>
      <c r="E41" s="6"/>
      <c r="F41" s="6"/>
    </row>
    <row r="42" spans="1:6" ht="14.25">
      <c r="A42" s="3"/>
      <c r="B42" s="5"/>
      <c r="C42" s="6"/>
      <c r="D42" s="6"/>
      <c r="E42" s="6"/>
      <c r="F42" s="6"/>
    </row>
    <row r="43" spans="1:6" ht="14.25">
      <c r="A43" s="3"/>
      <c r="B43" s="5"/>
      <c r="C43" s="6"/>
      <c r="D43" s="6"/>
      <c r="E43" s="6"/>
      <c r="F43" s="6"/>
    </row>
    <row r="44" spans="1:6" ht="14.25">
      <c r="A44" s="3"/>
      <c r="B44" s="12"/>
      <c r="C44" s="6"/>
      <c r="D44" s="6"/>
      <c r="E44" s="6"/>
      <c r="F44" s="6"/>
    </row>
    <row r="45" spans="1:6" ht="14.25">
      <c r="A45" s="3"/>
      <c r="B45" s="12"/>
      <c r="C45" s="6"/>
      <c r="D45" s="6"/>
      <c r="E45" s="6"/>
      <c r="F45" s="6"/>
    </row>
    <row r="46" spans="1:6" ht="14.25">
      <c r="A46" s="3"/>
      <c r="B46" s="5"/>
      <c r="C46" s="6"/>
      <c r="D46" s="6"/>
      <c r="E46" s="6"/>
      <c r="F46" s="6"/>
    </row>
    <row r="47" spans="1:6" ht="14.25">
      <c r="A47" s="3"/>
      <c r="B47" s="5"/>
      <c r="C47" s="6"/>
      <c r="D47" s="6"/>
      <c r="E47" s="6"/>
      <c r="F47" s="6"/>
    </row>
    <row r="48" spans="1:6" ht="14.25">
      <c r="A48" s="3"/>
      <c r="B48" s="5"/>
      <c r="C48" s="6"/>
      <c r="D48" s="6"/>
      <c r="E48" s="6"/>
      <c r="F48" s="6"/>
    </row>
    <row r="49" spans="1:6" ht="14.25">
      <c r="A49" s="3"/>
      <c r="B49" s="5"/>
      <c r="C49" s="6"/>
      <c r="D49" s="6"/>
      <c r="E49" s="6"/>
      <c r="F49" s="6"/>
    </row>
    <row r="50" spans="1:6" ht="14.25">
      <c r="A50" s="3"/>
      <c r="B50" s="5"/>
      <c r="C50" s="6"/>
      <c r="D50" s="6"/>
      <c r="E50" s="6"/>
      <c r="F50" s="6"/>
    </row>
    <row r="51" spans="1:6" ht="14.25">
      <c r="A51" s="3"/>
      <c r="B51" s="5"/>
      <c r="C51" s="6"/>
      <c r="D51" s="6"/>
      <c r="E51" s="6"/>
      <c r="F51" s="6"/>
    </row>
    <row r="52" spans="1:6" ht="15">
      <c r="A52" s="3"/>
      <c r="B52" s="5"/>
      <c r="C52" s="7"/>
      <c r="D52" s="6"/>
      <c r="E52" s="6"/>
      <c r="F52" s="6"/>
    </row>
    <row r="53" spans="1:6" ht="15">
      <c r="A53" s="5"/>
      <c r="B53" s="4"/>
      <c r="C53" s="7"/>
      <c r="D53" s="7"/>
      <c r="E53" s="7"/>
      <c r="F53" s="7"/>
    </row>
    <row r="54" spans="1:6" ht="12.75">
      <c r="A54" s="1"/>
      <c r="B54" s="1"/>
      <c r="C54" s="2"/>
      <c r="D54" s="2"/>
      <c r="E54" s="2"/>
      <c r="F54" s="2"/>
    </row>
  </sheetData>
  <sheetProtection/>
  <mergeCells count="6">
    <mergeCell ref="A7:F7"/>
    <mergeCell ref="A8:F8"/>
    <mergeCell ref="E10:F10"/>
    <mergeCell ref="A10:A11"/>
    <mergeCell ref="B10:B11"/>
    <mergeCell ref="C10:D10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zoomScalePageLayoutView="0" workbookViewId="0" topLeftCell="A1">
      <selection activeCell="E2" sqref="E2:E4"/>
    </sheetView>
  </sheetViews>
  <sheetFormatPr defaultColWidth="9.00390625" defaultRowHeight="12.75"/>
  <cols>
    <col min="4" max="4" width="61.875" style="0" bestFit="1" customWidth="1"/>
  </cols>
  <sheetData>
    <row r="1" ht="12.75">
      <c r="E1" t="s">
        <v>267</v>
      </c>
    </row>
    <row r="2" ht="12.75">
      <c r="E2" s="10" t="s">
        <v>315</v>
      </c>
    </row>
    <row r="3" ht="12.75">
      <c r="E3" s="10" t="s">
        <v>21</v>
      </c>
    </row>
    <row r="4" ht="12.75">
      <c r="E4" s="11" t="s">
        <v>316</v>
      </c>
    </row>
    <row r="6" spans="1:6" ht="15.75">
      <c r="A6" s="636" t="s">
        <v>283</v>
      </c>
      <c r="B6" s="637"/>
      <c r="C6" s="637"/>
      <c r="D6" s="637"/>
      <c r="E6" s="637"/>
      <c r="F6" s="637"/>
    </row>
    <row r="7" spans="1:6" ht="15.75">
      <c r="A7" s="636" t="s">
        <v>242</v>
      </c>
      <c r="B7" s="637"/>
      <c r="C7" s="637"/>
      <c r="D7" s="637"/>
      <c r="E7" s="637"/>
      <c r="F7" s="637"/>
    </row>
    <row r="8" spans="1:6" ht="13.5" thickBot="1">
      <c r="A8" s="224"/>
      <c r="B8" s="224"/>
      <c r="C8" s="224"/>
      <c r="D8" s="224"/>
      <c r="E8" s="224"/>
      <c r="F8" s="224"/>
    </row>
    <row r="9" spans="1:6" ht="15" thickBot="1">
      <c r="A9" s="471" t="s">
        <v>217</v>
      </c>
      <c r="B9" s="275" t="s">
        <v>218</v>
      </c>
      <c r="C9" s="275" t="s">
        <v>35</v>
      </c>
      <c r="D9" s="275" t="s">
        <v>36</v>
      </c>
      <c r="E9" s="638" t="s">
        <v>243</v>
      </c>
      <c r="F9" s="639"/>
    </row>
    <row r="10" spans="1:6" ht="15">
      <c r="A10" s="472">
        <v>801</v>
      </c>
      <c r="B10" s="276"/>
      <c r="C10" s="276"/>
      <c r="D10" s="277" t="s">
        <v>244</v>
      </c>
      <c r="E10" s="640">
        <f>E11+E15+E17</f>
        <v>1935359</v>
      </c>
      <c r="F10" s="641"/>
    </row>
    <row r="11" spans="1:6" ht="15">
      <c r="A11" s="473"/>
      <c r="B11" s="278">
        <v>80120</v>
      </c>
      <c r="C11" s="278"/>
      <c r="D11" s="279" t="s">
        <v>90</v>
      </c>
      <c r="E11" s="653">
        <f>SUM(E12:F14)</f>
        <v>194197</v>
      </c>
      <c r="F11" s="654"/>
    </row>
    <row r="12" spans="1:6" ht="12.75">
      <c r="A12" s="474"/>
      <c r="B12" s="417"/>
      <c r="C12" s="417">
        <v>2540</v>
      </c>
      <c r="D12" s="418" t="s">
        <v>245</v>
      </c>
      <c r="E12" s="655">
        <v>121905</v>
      </c>
      <c r="F12" s="656"/>
    </row>
    <row r="13" spans="1:6" ht="12.75">
      <c r="A13" s="474"/>
      <c r="B13" s="417"/>
      <c r="C13" s="417">
        <v>2540</v>
      </c>
      <c r="D13" s="418" t="s">
        <v>245</v>
      </c>
      <c r="E13" s="649">
        <v>48195</v>
      </c>
      <c r="F13" s="650"/>
    </row>
    <row r="14" spans="1:6" ht="12.75">
      <c r="A14" s="474"/>
      <c r="B14" s="417"/>
      <c r="C14" s="417">
        <v>2540</v>
      </c>
      <c r="D14" s="418" t="s">
        <v>245</v>
      </c>
      <c r="E14" s="649">
        <v>24097</v>
      </c>
      <c r="F14" s="650"/>
    </row>
    <row r="15" spans="1:6" ht="15">
      <c r="A15" s="473"/>
      <c r="B15" s="278">
        <v>80130</v>
      </c>
      <c r="C15" s="278"/>
      <c r="D15" s="419" t="s">
        <v>92</v>
      </c>
      <c r="E15" s="651">
        <f>SUM(E16)</f>
        <v>147365</v>
      </c>
      <c r="F15" s="652"/>
    </row>
    <row r="16" spans="1:6" ht="12.75">
      <c r="A16" s="474"/>
      <c r="B16" s="417"/>
      <c r="C16" s="417">
        <v>2540</v>
      </c>
      <c r="D16" s="418" t="s">
        <v>245</v>
      </c>
      <c r="E16" s="655">
        <v>147365</v>
      </c>
      <c r="F16" s="656"/>
    </row>
    <row r="17" spans="1:6" ht="15">
      <c r="A17" s="473"/>
      <c r="B17" s="278">
        <v>80144</v>
      </c>
      <c r="C17" s="278"/>
      <c r="D17" s="419" t="s">
        <v>194</v>
      </c>
      <c r="E17" s="651">
        <f>SUM(E18)</f>
        <v>1593797</v>
      </c>
      <c r="F17" s="652"/>
    </row>
    <row r="18" spans="1:6" ht="13.5" thickBot="1">
      <c r="A18" s="475"/>
      <c r="B18" s="420"/>
      <c r="C18" s="420">
        <v>2540</v>
      </c>
      <c r="D18" s="418" t="s">
        <v>245</v>
      </c>
      <c r="E18" s="642">
        <v>1593797</v>
      </c>
      <c r="F18" s="643"/>
    </row>
    <row r="19" spans="1:6" ht="15.75" thickBot="1">
      <c r="A19" s="644" t="s">
        <v>15</v>
      </c>
      <c r="B19" s="645"/>
      <c r="C19" s="645"/>
      <c r="D19" s="646"/>
      <c r="E19" s="647">
        <f>E10</f>
        <v>1935359</v>
      </c>
      <c r="F19" s="648"/>
    </row>
  </sheetData>
  <sheetProtection/>
  <mergeCells count="14">
    <mergeCell ref="E16:F16"/>
    <mergeCell ref="E17:F17"/>
    <mergeCell ref="E12:F12"/>
    <mergeCell ref="E13:F13"/>
    <mergeCell ref="A6:F6"/>
    <mergeCell ref="A7:F7"/>
    <mergeCell ref="E9:F9"/>
    <mergeCell ref="E10:F10"/>
    <mergeCell ref="E18:F18"/>
    <mergeCell ref="A19:D19"/>
    <mergeCell ref="E19:F19"/>
    <mergeCell ref="E14:F14"/>
    <mergeCell ref="E15:F15"/>
    <mergeCell ref="E11:F11"/>
  </mergeCells>
  <printOptions horizontalCentered="1" verticalCentered="1"/>
  <pageMargins left="0.7874015748031497" right="0.7874015748031497" top="0.5511811023622047" bottom="0.7874015748031497" header="1.1023622047244095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J43" sqref="J43"/>
    </sheetView>
  </sheetViews>
  <sheetFormatPr defaultColWidth="9.00390625" defaultRowHeight="12.75"/>
  <cols>
    <col min="1" max="1" width="9.25390625" style="0" bestFit="1" customWidth="1"/>
    <col min="2" max="2" width="10.125" style="0" bestFit="1" customWidth="1"/>
    <col min="3" max="3" width="6.375" style="0" bestFit="1" customWidth="1"/>
    <col min="4" max="4" width="43.00390625" style="0" bestFit="1" customWidth="1"/>
    <col min="5" max="5" width="9.75390625" style="0" bestFit="1" customWidth="1"/>
    <col min="6" max="6" width="9.25390625" style="0" bestFit="1" customWidth="1"/>
    <col min="7" max="7" width="10.125" style="0" bestFit="1" customWidth="1"/>
    <col min="8" max="8" width="45.75390625" style="0" bestFit="1" customWidth="1"/>
    <col min="9" max="9" width="9.75390625" style="0" bestFit="1" customWidth="1"/>
  </cols>
  <sheetData>
    <row r="1" spans="1:9" ht="15">
      <c r="A1" s="280"/>
      <c r="B1" s="280"/>
      <c r="C1" s="280"/>
      <c r="D1" s="280"/>
      <c r="E1" s="280"/>
      <c r="F1" s="280"/>
      <c r="G1" s="280"/>
      <c r="H1" s="320" t="s">
        <v>268</v>
      </c>
      <c r="I1" s="280"/>
    </row>
    <row r="2" spans="1:9" ht="15">
      <c r="A2" s="280"/>
      <c r="B2" s="280"/>
      <c r="C2" s="280"/>
      <c r="D2" s="280"/>
      <c r="E2" s="280"/>
      <c r="F2" s="280"/>
      <c r="G2" s="280"/>
      <c r="H2" s="346" t="s">
        <v>315</v>
      </c>
      <c r="I2" s="280"/>
    </row>
    <row r="3" spans="1:9" ht="15">
      <c r="A3" s="280"/>
      <c r="B3" s="280"/>
      <c r="C3" s="280"/>
      <c r="D3" s="280"/>
      <c r="E3" s="280"/>
      <c r="F3" s="280"/>
      <c r="G3" s="280"/>
      <c r="H3" s="346" t="s">
        <v>21</v>
      </c>
      <c r="I3" s="280"/>
    </row>
    <row r="4" spans="1:9" ht="15">
      <c r="A4" s="280"/>
      <c r="B4" s="280"/>
      <c r="C4" s="280"/>
      <c r="D4" s="280"/>
      <c r="E4" s="280"/>
      <c r="F4" s="280"/>
      <c r="G4" s="280"/>
      <c r="H4" s="347" t="s">
        <v>316</v>
      </c>
      <c r="I4" s="280"/>
    </row>
    <row r="5" spans="1:9" ht="15">
      <c r="A5" s="280"/>
      <c r="B5" s="280"/>
      <c r="C5" s="280"/>
      <c r="D5" s="280"/>
      <c r="E5" s="280"/>
      <c r="F5" s="280"/>
      <c r="G5" s="280"/>
      <c r="H5" s="280"/>
      <c r="I5" s="280"/>
    </row>
    <row r="6" spans="1:9" ht="21.75" customHeight="1">
      <c r="A6" s="636" t="s">
        <v>246</v>
      </c>
      <c r="B6" s="665"/>
      <c r="C6" s="665"/>
      <c r="D6" s="665"/>
      <c r="E6" s="665"/>
      <c r="F6" s="665"/>
      <c r="G6" s="665"/>
      <c r="H6" s="665"/>
      <c r="I6" s="665"/>
    </row>
    <row r="7" spans="1:9" ht="24.75" customHeight="1">
      <c r="A7" s="636" t="s">
        <v>284</v>
      </c>
      <c r="B7" s="665"/>
      <c r="C7" s="665"/>
      <c r="D7" s="665"/>
      <c r="E7" s="665"/>
      <c r="F7" s="665"/>
      <c r="G7" s="665"/>
      <c r="H7" s="665"/>
      <c r="I7" s="665"/>
    </row>
    <row r="8" spans="1:9" ht="15.75" customHeight="1" thickBot="1">
      <c r="A8" s="280"/>
      <c r="B8" s="280"/>
      <c r="C8" s="280"/>
      <c r="D8" s="280"/>
      <c r="E8" s="280"/>
      <c r="F8" s="280"/>
      <c r="G8" s="280"/>
      <c r="H8" s="280"/>
      <c r="I8" s="281" t="s">
        <v>32</v>
      </c>
    </row>
    <row r="9" spans="1:9" ht="18" customHeight="1" thickBot="1">
      <c r="A9" s="512" t="s">
        <v>229</v>
      </c>
      <c r="B9" s="666"/>
      <c r="C9" s="666"/>
      <c r="D9" s="666"/>
      <c r="E9" s="513"/>
      <c r="F9" s="666" t="s">
        <v>247</v>
      </c>
      <c r="G9" s="666"/>
      <c r="H9" s="666"/>
      <c r="I9" s="513"/>
    </row>
    <row r="10" spans="1:9" ht="18.75" customHeight="1" thickBot="1">
      <c r="A10" s="13" t="s">
        <v>33</v>
      </c>
      <c r="B10" s="13" t="s">
        <v>34</v>
      </c>
      <c r="C10" s="13" t="s">
        <v>35</v>
      </c>
      <c r="D10" s="282" t="s">
        <v>232</v>
      </c>
      <c r="E10" s="13" t="s">
        <v>233</v>
      </c>
      <c r="F10" s="41" t="s">
        <v>33</v>
      </c>
      <c r="G10" s="13" t="s">
        <v>34</v>
      </c>
      <c r="H10" s="282" t="s">
        <v>232</v>
      </c>
      <c r="I10" s="13" t="s">
        <v>233</v>
      </c>
    </row>
    <row r="11" spans="1:9" ht="15">
      <c r="A11" s="657">
        <v>710</v>
      </c>
      <c r="B11" s="659">
        <v>71030</v>
      </c>
      <c r="C11" s="235"/>
      <c r="D11" s="283" t="s">
        <v>9</v>
      </c>
      <c r="E11" s="284">
        <f>E12+E13</f>
        <v>301000</v>
      </c>
      <c r="F11" s="661">
        <v>710</v>
      </c>
      <c r="G11" s="659">
        <v>71030</v>
      </c>
      <c r="H11" s="283" t="s">
        <v>9</v>
      </c>
      <c r="I11" s="284">
        <f>I12</f>
        <v>466915</v>
      </c>
    </row>
    <row r="12" spans="1:9" ht="30">
      <c r="A12" s="658"/>
      <c r="B12" s="660"/>
      <c r="C12" s="402" t="s">
        <v>288</v>
      </c>
      <c r="D12" s="402" t="s">
        <v>68</v>
      </c>
      <c r="E12" s="437">
        <v>300000</v>
      </c>
      <c r="F12" s="662"/>
      <c r="G12" s="660"/>
      <c r="H12" s="285" t="s">
        <v>248</v>
      </c>
      <c r="I12" s="286">
        <f>SUM(I13+I14)</f>
        <v>466915</v>
      </c>
    </row>
    <row r="13" spans="1:9" ht="15">
      <c r="A13" s="658"/>
      <c r="B13" s="660"/>
      <c r="C13" s="663" t="s">
        <v>69</v>
      </c>
      <c r="D13" s="663" t="s">
        <v>70</v>
      </c>
      <c r="E13" s="670">
        <v>1000</v>
      </c>
      <c r="F13" s="662"/>
      <c r="G13" s="660"/>
      <c r="H13" s="287" t="s">
        <v>249</v>
      </c>
      <c r="I13" s="286">
        <v>406715</v>
      </c>
    </row>
    <row r="14" spans="1:9" ht="15.75" thickBot="1">
      <c r="A14" s="658"/>
      <c r="B14" s="660"/>
      <c r="C14" s="664"/>
      <c r="D14" s="664"/>
      <c r="E14" s="671"/>
      <c r="F14" s="662"/>
      <c r="G14" s="660"/>
      <c r="H14" s="287" t="s">
        <v>290</v>
      </c>
      <c r="I14" s="286">
        <v>60200</v>
      </c>
    </row>
    <row r="15" spans="1:9" ht="15.75" thickBot="1">
      <c r="A15" s="672" t="s">
        <v>185</v>
      </c>
      <c r="B15" s="673"/>
      <c r="C15" s="673"/>
      <c r="D15" s="674"/>
      <c r="E15" s="288">
        <f>E11</f>
        <v>301000</v>
      </c>
      <c r="F15" s="673" t="s">
        <v>185</v>
      </c>
      <c r="G15" s="673"/>
      <c r="H15" s="674"/>
      <c r="I15" s="288">
        <f>I11</f>
        <v>466915</v>
      </c>
    </row>
    <row r="16" spans="1:9" ht="15.75" customHeight="1" thickBot="1">
      <c r="A16" s="289" t="s">
        <v>251</v>
      </c>
      <c r="B16" s="290"/>
      <c r="C16" s="290"/>
      <c r="D16" s="290"/>
      <c r="E16" s="292">
        <v>165915</v>
      </c>
      <c r="F16" s="290" t="s">
        <v>252</v>
      </c>
      <c r="G16" s="290"/>
      <c r="H16" s="291"/>
      <c r="I16" s="292">
        <v>0</v>
      </c>
    </row>
    <row r="17" spans="1:9" ht="15.75" thickBot="1">
      <c r="A17" s="667" t="s">
        <v>15</v>
      </c>
      <c r="B17" s="668"/>
      <c r="C17" s="668"/>
      <c r="D17" s="669"/>
      <c r="E17" s="293">
        <f>E15+E16</f>
        <v>466915</v>
      </c>
      <c r="F17" s="668" t="s">
        <v>15</v>
      </c>
      <c r="G17" s="668"/>
      <c r="H17" s="669"/>
      <c r="I17" s="293">
        <f>I15+I16</f>
        <v>466915</v>
      </c>
    </row>
    <row r="20" ht="21.75" customHeight="1"/>
  </sheetData>
  <sheetProtection/>
  <mergeCells count="15">
    <mergeCell ref="A17:D17"/>
    <mergeCell ref="F17:H17"/>
    <mergeCell ref="D13:D14"/>
    <mergeCell ref="E13:E14"/>
    <mergeCell ref="A15:D15"/>
    <mergeCell ref="F15:H15"/>
    <mergeCell ref="A11:A14"/>
    <mergeCell ref="B11:B14"/>
    <mergeCell ref="F11:F14"/>
    <mergeCell ref="G11:G14"/>
    <mergeCell ref="C13:C14"/>
    <mergeCell ref="A6:I6"/>
    <mergeCell ref="A7:I7"/>
    <mergeCell ref="A9:E9"/>
    <mergeCell ref="F9:I9"/>
  </mergeCells>
  <printOptions horizontalCentered="1" verticalCentered="1"/>
  <pageMargins left="0.7874015748031497" right="0.7874015748031497" top="0.5511811023622047" bottom="1.4" header="1.1023622047244095" footer="1.7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H2" sqref="H2:H4"/>
    </sheetView>
  </sheetViews>
  <sheetFormatPr defaultColWidth="9.00390625" defaultRowHeight="12.75"/>
  <cols>
    <col min="2" max="2" width="10.00390625" style="0" bestFit="1" customWidth="1"/>
    <col min="4" max="4" width="43.00390625" style="0" bestFit="1" customWidth="1"/>
    <col min="7" max="7" width="10.00390625" style="0" bestFit="1" customWidth="1"/>
    <col min="8" max="8" width="45.75390625" style="0" bestFit="1" customWidth="1"/>
  </cols>
  <sheetData>
    <row r="1" spans="1:9" ht="15">
      <c r="A1" s="280"/>
      <c r="B1" s="280"/>
      <c r="C1" s="280"/>
      <c r="D1" s="280"/>
      <c r="E1" s="280"/>
      <c r="F1" s="280"/>
      <c r="G1" s="280"/>
      <c r="H1" s="320" t="s">
        <v>256</v>
      </c>
      <c r="I1" s="280"/>
    </row>
    <row r="2" spans="1:9" ht="15">
      <c r="A2" s="280"/>
      <c r="B2" s="280"/>
      <c r="C2" s="280"/>
      <c r="D2" s="280"/>
      <c r="E2" s="280"/>
      <c r="F2" s="280"/>
      <c r="G2" s="280"/>
      <c r="H2" s="346" t="s">
        <v>315</v>
      </c>
      <c r="I2" s="280"/>
    </row>
    <row r="3" spans="1:9" ht="15">
      <c r="A3" s="280"/>
      <c r="B3" s="280"/>
      <c r="C3" s="280"/>
      <c r="D3" s="280"/>
      <c r="E3" s="280"/>
      <c r="F3" s="280"/>
      <c r="G3" s="280"/>
      <c r="H3" s="346" t="s">
        <v>21</v>
      </c>
      <c r="I3" s="280"/>
    </row>
    <row r="4" spans="1:9" ht="15">
      <c r="A4" s="280"/>
      <c r="B4" s="280"/>
      <c r="C4" s="280"/>
      <c r="D4" s="280"/>
      <c r="E4" s="280"/>
      <c r="F4" s="280"/>
      <c r="G4" s="280"/>
      <c r="H4" s="347" t="s">
        <v>316</v>
      </c>
      <c r="I4" s="280"/>
    </row>
    <row r="5" spans="1:9" ht="15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8.75" customHeight="1">
      <c r="A6" s="636" t="s">
        <v>253</v>
      </c>
      <c r="B6" s="665"/>
      <c r="C6" s="665"/>
      <c r="D6" s="665"/>
      <c r="E6" s="665"/>
      <c r="F6" s="665"/>
      <c r="G6" s="665"/>
      <c r="H6" s="665"/>
      <c r="I6" s="665"/>
    </row>
    <row r="7" spans="1:9" ht="22.5" customHeight="1">
      <c r="A7" s="636" t="s">
        <v>285</v>
      </c>
      <c r="B7" s="665"/>
      <c r="C7" s="665"/>
      <c r="D7" s="665"/>
      <c r="E7" s="665"/>
      <c r="F7" s="665"/>
      <c r="G7" s="665"/>
      <c r="H7" s="665"/>
      <c r="I7" s="665"/>
    </row>
    <row r="8" spans="1:9" ht="15.75" customHeight="1" thickBot="1">
      <c r="A8" s="280"/>
      <c r="B8" s="280"/>
      <c r="C8" s="280"/>
      <c r="D8" s="280"/>
      <c r="E8" s="280"/>
      <c r="F8" s="280"/>
      <c r="G8" s="280"/>
      <c r="H8" s="280"/>
      <c r="I8" s="281" t="s">
        <v>32</v>
      </c>
    </row>
    <row r="9" spans="1:9" ht="18" customHeight="1" thickBot="1">
      <c r="A9" s="512" t="s">
        <v>229</v>
      </c>
      <c r="B9" s="666"/>
      <c r="C9" s="666"/>
      <c r="D9" s="666"/>
      <c r="E9" s="513"/>
      <c r="F9" s="512" t="s">
        <v>247</v>
      </c>
      <c r="G9" s="666"/>
      <c r="H9" s="666"/>
      <c r="I9" s="513"/>
    </row>
    <row r="10" spans="1:9" ht="18.75" customHeight="1" thickBot="1">
      <c r="A10" s="13" t="s">
        <v>33</v>
      </c>
      <c r="B10" s="13" t="s">
        <v>34</v>
      </c>
      <c r="C10" s="13" t="s">
        <v>35</v>
      </c>
      <c r="D10" s="294" t="s">
        <v>232</v>
      </c>
      <c r="E10" s="13" t="s">
        <v>233</v>
      </c>
      <c r="F10" s="41" t="s">
        <v>33</v>
      </c>
      <c r="G10" s="13" t="s">
        <v>34</v>
      </c>
      <c r="H10" s="294" t="s">
        <v>232</v>
      </c>
      <c r="I10" s="13" t="s">
        <v>233</v>
      </c>
    </row>
    <row r="11" spans="1:9" ht="30">
      <c r="A11" s="295">
        <v>900</v>
      </c>
      <c r="B11" s="235"/>
      <c r="C11" s="235"/>
      <c r="D11" s="296" t="s">
        <v>254</v>
      </c>
      <c r="E11" s="297">
        <f>SUM(E12:E13)</f>
        <v>60500</v>
      </c>
      <c r="F11" s="298">
        <v>900</v>
      </c>
      <c r="G11" s="235"/>
      <c r="H11" s="296" t="s">
        <v>254</v>
      </c>
      <c r="I11" s="297">
        <f>I12</f>
        <v>62500</v>
      </c>
    </row>
    <row r="12" spans="1:9" ht="15">
      <c r="A12" s="683"/>
      <c r="B12" s="679">
        <v>90011</v>
      </c>
      <c r="C12" s="389" t="s">
        <v>63</v>
      </c>
      <c r="D12" s="299" t="s">
        <v>64</v>
      </c>
      <c r="E12" s="300">
        <v>60000</v>
      </c>
      <c r="F12" s="683"/>
      <c r="G12" s="679">
        <v>90011</v>
      </c>
      <c r="H12" s="301" t="s">
        <v>255</v>
      </c>
      <c r="I12" s="302">
        <f>SUM(I14+I13)</f>
        <v>62500</v>
      </c>
    </row>
    <row r="13" spans="1:9" ht="15" customHeight="1">
      <c r="A13" s="684"/>
      <c r="B13" s="680"/>
      <c r="C13" s="682" t="s">
        <v>69</v>
      </c>
      <c r="D13" s="675" t="s">
        <v>70</v>
      </c>
      <c r="E13" s="677">
        <v>500</v>
      </c>
      <c r="F13" s="684"/>
      <c r="G13" s="680"/>
      <c r="H13" s="287" t="s">
        <v>249</v>
      </c>
      <c r="I13" s="303">
        <v>27500</v>
      </c>
    </row>
    <row r="14" spans="1:9" ht="15.75" thickBot="1">
      <c r="A14" s="685"/>
      <c r="B14" s="681"/>
      <c r="C14" s="617"/>
      <c r="D14" s="676"/>
      <c r="E14" s="678"/>
      <c r="F14" s="685"/>
      <c r="G14" s="681"/>
      <c r="H14" s="287" t="s">
        <v>250</v>
      </c>
      <c r="I14" s="304">
        <v>35000</v>
      </c>
    </row>
    <row r="15" spans="1:9" ht="15.75" thickBot="1">
      <c r="A15" s="672" t="s">
        <v>185</v>
      </c>
      <c r="B15" s="673"/>
      <c r="C15" s="673"/>
      <c r="D15" s="673"/>
      <c r="E15" s="305">
        <f>E11</f>
        <v>60500</v>
      </c>
      <c r="F15" s="673" t="s">
        <v>185</v>
      </c>
      <c r="G15" s="673"/>
      <c r="H15" s="673"/>
      <c r="I15" s="305">
        <f>I11</f>
        <v>62500</v>
      </c>
    </row>
    <row r="16" spans="1:9" ht="15.75" thickBot="1">
      <c r="A16" s="289" t="s">
        <v>251</v>
      </c>
      <c r="B16" s="290"/>
      <c r="C16" s="290"/>
      <c r="D16" s="290"/>
      <c r="E16" s="305">
        <v>5873</v>
      </c>
      <c r="F16" s="290" t="s">
        <v>252</v>
      </c>
      <c r="G16" s="290"/>
      <c r="H16" s="306"/>
      <c r="I16" s="305">
        <v>3873</v>
      </c>
    </row>
    <row r="17" spans="1:9" ht="15.75" customHeight="1" thickBot="1">
      <c r="A17" s="667" t="s">
        <v>15</v>
      </c>
      <c r="B17" s="668"/>
      <c r="C17" s="668"/>
      <c r="D17" s="668"/>
      <c r="E17" s="293">
        <f>E15+E16</f>
        <v>66373</v>
      </c>
      <c r="F17" s="668" t="s">
        <v>15</v>
      </c>
      <c r="G17" s="668"/>
      <c r="H17" s="668"/>
      <c r="I17" s="293">
        <f>I15+I16</f>
        <v>66373</v>
      </c>
    </row>
    <row r="21" ht="21.75" customHeight="1"/>
  </sheetData>
  <sheetProtection/>
  <mergeCells count="15">
    <mergeCell ref="A6:I6"/>
    <mergeCell ref="A7:I7"/>
    <mergeCell ref="A9:E9"/>
    <mergeCell ref="F9:I9"/>
    <mergeCell ref="F12:F14"/>
    <mergeCell ref="A15:D15"/>
    <mergeCell ref="F15:H15"/>
    <mergeCell ref="A17:D17"/>
    <mergeCell ref="F17:H17"/>
    <mergeCell ref="D13:D14"/>
    <mergeCell ref="E13:E14"/>
    <mergeCell ref="G12:G14"/>
    <mergeCell ref="C13:C14"/>
    <mergeCell ref="A12:A14"/>
    <mergeCell ref="B12:B14"/>
  </mergeCells>
  <printOptions horizontalCentered="1" verticalCentered="1"/>
  <pageMargins left="0.7874015748031497" right="0.7874015748031497" top="0.5511811023622047" bottom="1.56" header="1.1023622047244095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5.125" style="0" customWidth="1"/>
    <col min="2" max="2" width="59.75390625" style="0" bestFit="1" customWidth="1"/>
    <col min="3" max="3" width="13.75390625" style="0" bestFit="1" customWidth="1"/>
    <col min="4" max="4" width="25.375" style="0" bestFit="1" customWidth="1"/>
  </cols>
  <sheetData>
    <row r="1" spans="1:4" ht="15">
      <c r="A1" s="280"/>
      <c r="B1" s="280"/>
      <c r="D1" s="321" t="s">
        <v>293</v>
      </c>
    </row>
    <row r="2" spans="1:4" ht="15">
      <c r="A2" s="280"/>
      <c r="B2" s="280"/>
      <c r="D2" s="10" t="s">
        <v>315</v>
      </c>
    </row>
    <row r="3" spans="1:4" ht="15">
      <c r="A3" s="280"/>
      <c r="B3" s="280"/>
      <c r="D3" s="10" t="s">
        <v>21</v>
      </c>
    </row>
    <row r="4" spans="1:4" ht="15">
      <c r="A4" s="280"/>
      <c r="B4" s="280"/>
      <c r="D4" s="11" t="s">
        <v>316</v>
      </c>
    </row>
    <row r="5" spans="1:4" ht="15">
      <c r="A5" s="280"/>
      <c r="B5" s="280"/>
      <c r="C5" s="280"/>
      <c r="D5" s="280"/>
    </row>
    <row r="6" spans="1:4" ht="15">
      <c r="A6" s="280"/>
      <c r="B6" s="280"/>
      <c r="C6" s="280"/>
      <c r="D6" s="280"/>
    </row>
    <row r="7" spans="1:4" ht="15">
      <c r="A7" s="280"/>
      <c r="B7" s="280"/>
      <c r="C7" s="280"/>
      <c r="D7" s="280"/>
    </row>
    <row r="8" spans="1:4" ht="15.75" customHeight="1">
      <c r="A8" s="280"/>
      <c r="B8" s="280"/>
      <c r="C8" s="280"/>
      <c r="D8" s="280"/>
    </row>
    <row r="9" spans="1:5" ht="18" customHeight="1">
      <c r="A9" s="551" t="s">
        <v>257</v>
      </c>
      <c r="B9" s="548"/>
      <c r="C9" s="548"/>
      <c r="D9" s="548"/>
      <c r="E9" s="523"/>
    </row>
    <row r="10" spans="1:5" ht="18.75" customHeight="1">
      <c r="A10" s="551" t="s">
        <v>258</v>
      </c>
      <c r="B10" s="548"/>
      <c r="C10" s="548"/>
      <c r="D10" s="548"/>
      <c r="E10" s="523"/>
    </row>
    <row r="11" spans="1:5" ht="15">
      <c r="A11" s="551" t="s">
        <v>303</v>
      </c>
      <c r="B11" s="548"/>
      <c r="C11" s="548"/>
      <c r="D11" s="548"/>
      <c r="E11" s="523"/>
    </row>
    <row r="12" spans="1:4" ht="15">
      <c r="A12" s="280"/>
      <c r="B12" s="280"/>
      <c r="C12" s="280"/>
      <c r="D12" s="280"/>
    </row>
    <row r="13" spans="1:4" ht="15" customHeight="1" thickBot="1">
      <c r="A13" s="280"/>
      <c r="B13" s="280"/>
      <c r="C13" s="280"/>
      <c r="D13" s="281" t="s">
        <v>32</v>
      </c>
    </row>
    <row r="14" spans="1:4" ht="28.5">
      <c r="A14" s="430" t="s">
        <v>259</v>
      </c>
      <c r="B14" s="431" t="s">
        <v>260</v>
      </c>
      <c r="C14" s="432" t="s">
        <v>261</v>
      </c>
      <c r="D14" s="433" t="s">
        <v>233</v>
      </c>
    </row>
    <row r="15" spans="1:4" ht="18" customHeight="1">
      <c r="A15" s="434"/>
      <c r="B15" s="447" t="s">
        <v>262</v>
      </c>
      <c r="C15" s="307" t="s">
        <v>263</v>
      </c>
      <c r="D15" s="435">
        <f>D16+D17</f>
        <v>643900</v>
      </c>
    </row>
    <row r="16" spans="1:4" ht="20.25" customHeight="1">
      <c r="A16" s="436">
        <v>1</v>
      </c>
      <c r="B16" s="285" t="s">
        <v>304</v>
      </c>
      <c r="C16" s="308">
        <v>951</v>
      </c>
      <c r="D16" s="437">
        <v>203900</v>
      </c>
    </row>
    <row r="17" spans="1:4" ht="19.5" customHeight="1">
      <c r="A17" s="436">
        <v>2</v>
      </c>
      <c r="B17" s="445" t="s">
        <v>300</v>
      </c>
      <c r="C17" s="308">
        <v>955</v>
      </c>
      <c r="D17" s="437">
        <v>440000</v>
      </c>
    </row>
    <row r="18" spans="1:4" ht="18" customHeight="1">
      <c r="A18" s="434"/>
      <c r="B18" s="447" t="s">
        <v>264</v>
      </c>
      <c r="C18" s="317" t="s">
        <v>263</v>
      </c>
      <c r="D18" s="435">
        <f>D19+D20</f>
        <v>710000</v>
      </c>
    </row>
    <row r="19" spans="1:4" ht="20.25" customHeight="1">
      <c r="A19" s="436">
        <v>1</v>
      </c>
      <c r="B19" s="446" t="s">
        <v>305</v>
      </c>
      <c r="C19" s="316">
        <v>992</v>
      </c>
      <c r="D19" s="437">
        <v>350000</v>
      </c>
    </row>
    <row r="20" spans="1:4" ht="21" customHeight="1">
      <c r="A20" s="436">
        <v>2</v>
      </c>
      <c r="B20" s="285" t="s">
        <v>301</v>
      </c>
      <c r="C20" s="316">
        <v>982</v>
      </c>
      <c r="D20" s="437">
        <v>360000</v>
      </c>
    </row>
    <row r="21" spans="1:4" ht="15.75" thickBot="1">
      <c r="A21" s="686" t="s">
        <v>265</v>
      </c>
      <c r="B21" s="687"/>
      <c r="C21" s="688"/>
      <c r="D21" s="438">
        <f>SUM(D15-D18)</f>
        <v>-66100</v>
      </c>
    </row>
  </sheetData>
  <sheetProtection/>
  <mergeCells count="4">
    <mergeCell ref="A10:E10"/>
    <mergeCell ref="A11:E11"/>
    <mergeCell ref="A9:E9"/>
    <mergeCell ref="A21:C21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="73" zoomScaleNormal="73" zoomScalePageLayoutView="0" workbookViewId="0" topLeftCell="A97">
      <selection activeCell="O31" sqref="O31"/>
    </sheetView>
  </sheetViews>
  <sheetFormatPr defaultColWidth="9.00390625" defaultRowHeight="12.75"/>
  <cols>
    <col min="2" max="2" width="9.25390625" style="0" bestFit="1" customWidth="1"/>
    <col min="4" max="4" width="49.875" style="0" bestFit="1" customWidth="1"/>
    <col min="5" max="5" width="12.25390625" style="0" bestFit="1" customWidth="1"/>
    <col min="6" max="6" width="12.125" style="0" customWidth="1"/>
    <col min="7" max="7" width="12.00390625" style="0" bestFit="1" customWidth="1"/>
    <col min="8" max="8" width="11.375" style="0" bestFit="1" customWidth="1"/>
    <col min="10" max="10" width="10.125" style="0" customWidth="1"/>
  </cols>
  <sheetData>
    <row r="1" spans="1:11" ht="12.75">
      <c r="A1" s="42"/>
      <c r="B1" s="43"/>
      <c r="C1" s="43"/>
      <c r="D1" s="43"/>
      <c r="E1" s="43"/>
      <c r="F1" s="43"/>
      <c r="G1" s="43"/>
      <c r="I1" s="43"/>
      <c r="J1" s="44"/>
      <c r="K1" s="43" t="s">
        <v>28</v>
      </c>
    </row>
    <row r="2" spans="1:11" ht="12.75">
      <c r="A2" s="43"/>
      <c r="B2" s="43"/>
      <c r="C2" s="43"/>
      <c r="D2" s="43"/>
      <c r="E2" s="43"/>
      <c r="F2" s="43"/>
      <c r="G2" s="43"/>
      <c r="I2" s="43"/>
      <c r="J2" s="44"/>
      <c r="K2" s="10" t="s">
        <v>315</v>
      </c>
    </row>
    <row r="3" spans="1:11" ht="12.75">
      <c r="A3" s="43"/>
      <c r="B3" s="43"/>
      <c r="C3" s="43"/>
      <c r="D3" s="43"/>
      <c r="E3" s="43"/>
      <c r="F3" s="43"/>
      <c r="G3" s="43"/>
      <c r="I3" s="43"/>
      <c r="J3" s="44"/>
      <c r="K3" s="10" t="s">
        <v>21</v>
      </c>
    </row>
    <row r="4" spans="1:11" ht="12.75">
      <c r="A4" s="43"/>
      <c r="B4" s="43"/>
      <c r="C4" s="43"/>
      <c r="D4" s="43"/>
      <c r="E4" s="43"/>
      <c r="F4" s="43"/>
      <c r="G4" s="42"/>
      <c r="I4" s="43"/>
      <c r="J4" s="44"/>
      <c r="K4" s="11" t="s">
        <v>316</v>
      </c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4"/>
    </row>
    <row r="6" spans="1:13" ht="12.75">
      <c r="A6" s="521" t="s">
        <v>29</v>
      </c>
      <c r="B6" s="522"/>
      <c r="C6" s="522"/>
      <c r="D6" s="522"/>
      <c r="E6" s="522"/>
      <c r="F6" s="522"/>
      <c r="G6" s="522"/>
      <c r="H6" s="522"/>
      <c r="I6" s="522"/>
      <c r="J6" s="523"/>
      <c r="K6" s="523"/>
      <c r="L6" s="523"/>
      <c r="M6" s="523"/>
    </row>
    <row r="7" spans="1:13" ht="15.75" customHeight="1">
      <c r="A7" s="521" t="s">
        <v>271</v>
      </c>
      <c r="B7" s="522"/>
      <c r="C7" s="522"/>
      <c r="D7" s="522"/>
      <c r="E7" s="522"/>
      <c r="F7" s="522"/>
      <c r="G7" s="522"/>
      <c r="H7" s="522"/>
      <c r="I7" s="522"/>
      <c r="J7" s="523"/>
      <c r="K7" s="523"/>
      <c r="L7" s="523"/>
      <c r="M7" s="523"/>
    </row>
    <row r="8" spans="1:13" ht="15.75" customHeight="1">
      <c r="A8" s="521" t="s">
        <v>30</v>
      </c>
      <c r="B8" s="522"/>
      <c r="C8" s="522"/>
      <c r="D8" s="522"/>
      <c r="E8" s="522"/>
      <c r="F8" s="522"/>
      <c r="G8" s="522"/>
      <c r="H8" s="522"/>
      <c r="I8" s="522"/>
      <c r="J8" s="523"/>
      <c r="K8" s="523"/>
      <c r="L8" s="523"/>
      <c r="M8" s="523"/>
    </row>
    <row r="9" spans="1:13" ht="18" customHeight="1">
      <c r="A9" s="521" t="s">
        <v>31</v>
      </c>
      <c r="B9" s="522"/>
      <c r="C9" s="522"/>
      <c r="D9" s="522"/>
      <c r="E9" s="522"/>
      <c r="F9" s="522"/>
      <c r="G9" s="522"/>
      <c r="H9" s="522"/>
      <c r="I9" s="522"/>
      <c r="J9" s="523"/>
      <c r="K9" s="523"/>
      <c r="L9" s="523"/>
      <c r="M9" s="523"/>
    </row>
    <row r="10" spans="1:13" ht="12.75">
      <c r="A10" s="43"/>
      <c r="B10" s="43"/>
      <c r="C10" s="43"/>
      <c r="D10" s="43"/>
      <c r="E10" s="43"/>
      <c r="F10" s="43"/>
      <c r="G10" s="43"/>
      <c r="H10" s="43"/>
      <c r="I10" s="43"/>
      <c r="J10" s="44"/>
      <c r="M10" s="45" t="s">
        <v>32</v>
      </c>
    </row>
    <row r="11" spans="1:13" ht="12.75">
      <c r="A11" s="519" t="s">
        <v>33</v>
      </c>
      <c r="B11" s="519" t="s">
        <v>34</v>
      </c>
      <c r="C11" s="519" t="s">
        <v>35</v>
      </c>
      <c r="D11" s="519" t="s">
        <v>36</v>
      </c>
      <c r="E11" s="520" t="s">
        <v>15</v>
      </c>
      <c r="F11" s="516" t="s">
        <v>37</v>
      </c>
      <c r="G11" s="529"/>
      <c r="H11" s="529"/>
      <c r="I11" s="529"/>
      <c r="J11" s="529"/>
      <c r="K11" s="529"/>
      <c r="L11" s="529"/>
      <c r="M11" s="530"/>
    </row>
    <row r="12" spans="1:13" ht="12.75">
      <c r="A12" s="519"/>
      <c r="B12" s="519"/>
      <c r="C12" s="519"/>
      <c r="D12" s="519"/>
      <c r="E12" s="527"/>
      <c r="F12" s="531" t="s">
        <v>38</v>
      </c>
      <c r="G12" s="516" t="s">
        <v>39</v>
      </c>
      <c r="H12" s="517"/>
      <c r="I12" s="518"/>
      <c r="J12" s="531" t="s">
        <v>40</v>
      </c>
      <c r="K12" s="516" t="s">
        <v>39</v>
      </c>
      <c r="L12" s="517"/>
      <c r="M12" s="518"/>
    </row>
    <row r="13" spans="1:13" ht="135" customHeight="1">
      <c r="A13" s="520"/>
      <c r="B13" s="520"/>
      <c r="C13" s="520"/>
      <c r="D13" s="520"/>
      <c r="E13" s="528"/>
      <c r="F13" s="532"/>
      <c r="G13" s="47" t="s">
        <v>41</v>
      </c>
      <c r="H13" s="47" t="s">
        <v>42</v>
      </c>
      <c r="I13" s="47" t="s">
        <v>43</v>
      </c>
      <c r="J13" s="532"/>
      <c r="K13" s="47" t="s">
        <v>41</v>
      </c>
      <c r="L13" s="47" t="s">
        <v>42</v>
      </c>
      <c r="M13" s="47" t="s">
        <v>43</v>
      </c>
    </row>
    <row r="14" spans="1:13" ht="13.5" thickBot="1">
      <c r="A14" s="48">
        <v>1</v>
      </c>
      <c r="B14" s="48">
        <v>2</v>
      </c>
      <c r="C14" s="48">
        <v>3</v>
      </c>
      <c r="D14" s="48">
        <v>4</v>
      </c>
      <c r="E14" s="49">
        <v>5</v>
      </c>
      <c r="F14" s="348">
        <v>6</v>
      </c>
      <c r="G14" s="50">
        <v>7</v>
      </c>
      <c r="H14" s="50">
        <v>8</v>
      </c>
      <c r="I14" s="50">
        <v>9</v>
      </c>
      <c r="J14" s="348">
        <v>10</v>
      </c>
      <c r="K14" s="50">
        <v>11</v>
      </c>
      <c r="L14" s="50">
        <v>12</v>
      </c>
      <c r="M14" s="50">
        <v>13</v>
      </c>
    </row>
    <row r="15" spans="1:13" ht="14.25" thickBot="1" thickTop="1">
      <c r="A15" s="51" t="s">
        <v>44</v>
      </c>
      <c r="B15" s="51"/>
      <c r="C15" s="52"/>
      <c r="D15" s="52" t="s">
        <v>5</v>
      </c>
      <c r="E15" s="53">
        <f>SUM(E16)</f>
        <v>85000</v>
      </c>
      <c r="F15" s="349">
        <f aca="true" t="shared" si="0" ref="F15:M15">SUM(F16)</f>
        <v>85000</v>
      </c>
      <c r="G15" s="53">
        <f t="shared" si="0"/>
        <v>0</v>
      </c>
      <c r="H15" s="53">
        <f t="shared" si="0"/>
        <v>85000</v>
      </c>
      <c r="I15" s="53">
        <f t="shared" si="0"/>
        <v>0</v>
      </c>
      <c r="J15" s="349">
        <f t="shared" si="0"/>
        <v>0</v>
      </c>
      <c r="K15" s="53">
        <f t="shared" si="0"/>
        <v>0</v>
      </c>
      <c r="L15" s="53">
        <f t="shared" si="0"/>
        <v>0</v>
      </c>
      <c r="M15" s="53">
        <f t="shared" si="0"/>
        <v>0</v>
      </c>
    </row>
    <row r="16" spans="1:13" ht="30" customHeight="1" thickTop="1">
      <c r="A16" s="54"/>
      <c r="B16" s="54" t="s">
        <v>45</v>
      </c>
      <c r="C16" s="55"/>
      <c r="D16" s="56" t="s">
        <v>46</v>
      </c>
      <c r="E16" s="57">
        <f>SUM(J16+F16)</f>
        <v>85000</v>
      </c>
      <c r="F16" s="350">
        <f>SUM(G16:I16)</f>
        <v>85000</v>
      </c>
      <c r="G16" s="57">
        <f>G17</f>
        <v>0</v>
      </c>
      <c r="H16" s="57">
        <f>H17</f>
        <v>85000</v>
      </c>
      <c r="I16" s="57">
        <f>I17</f>
        <v>0</v>
      </c>
      <c r="J16" s="350">
        <f>SUM(K16:M16)</f>
        <v>0</v>
      </c>
      <c r="K16" s="57">
        <f>K17</f>
        <v>0</v>
      </c>
      <c r="L16" s="57">
        <f>L17</f>
        <v>0</v>
      </c>
      <c r="M16" s="57">
        <f>M17</f>
        <v>0</v>
      </c>
    </row>
    <row r="17" spans="1:13" ht="57" customHeight="1" thickBot="1">
      <c r="A17" s="58"/>
      <c r="B17" s="59"/>
      <c r="C17" s="59">
        <v>2110</v>
      </c>
      <c r="D17" s="60" t="s">
        <v>47</v>
      </c>
      <c r="E17" s="57">
        <f>SUM(J17+F17)</f>
        <v>85000</v>
      </c>
      <c r="F17" s="350">
        <f>SUM(G17:I17)</f>
        <v>85000</v>
      </c>
      <c r="G17" s="61">
        <v>0</v>
      </c>
      <c r="H17" s="61">
        <v>85000</v>
      </c>
      <c r="I17" s="61">
        <v>0</v>
      </c>
      <c r="J17" s="350">
        <f>SUM(K17:M17)</f>
        <v>0</v>
      </c>
      <c r="K17" s="61">
        <v>0</v>
      </c>
      <c r="L17" s="61"/>
      <c r="M17" s="61">
        <v>0</v>
      </c>
    </row>
    <row r="18" spans="1:13" ht="14.25" thickBot="1" thickTop="1">
      <c r="A18" s="62" t="s">
        <v>23</v>
      </c>
      <c r="B18" s="63"/>
      <c r="C18" s="64"/>
      <c r="D18" s="65" t="s">
        <v>6</v>
      </c>
      <c r="E18" s="53">
        <f>SUM(E19)</f>
        <v>19500</v>
      </c>
      <c r="F18" s="349">
        <f aca="true" t="shared" si="1" ref="F18:M18">SUM(F19)</f>
        <v>19500</v>
      </c>
      <c r="G18" s="53">
        <f t="shared" si="1"/>
        <v>19500</v>
      </c>
      <c r="H18" s="53">
        <f t="shared" si="1"/>
        <v>0</v>
      </c>
      <c r="I18" s="53">
        <f t="shared" si="1"/>
        <v>0</v>
      </c>
      <c r="J18" s="349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</row>
    <row r="19" spans="1:13" ht="13.5" thickTop="1">
      <c r="A19" s="66"/>
      <c r="B19" s="66" t="s">
        <v>158</v>
      </c>
      <c r="C19" s="323"/>
      <c r="D19" s="56" t="s">
        <v>159</v>
      </c>
      <c r="E19" s="57">
        <f>SUM(J19+F19)</f>
        <v>19500</v>
      </c>
      <c r="F19" s="350">
        <f>SUM(G19:I19)</f>
        <v>19500</v>
      </c>
      <c r="G19" s="57">
        <f>G20</f>
        <v>19500</v>
      </c>
      <c r="H19" s="57">
        <f>H20</f>
        <v>0</v>
      </c>
      <c r="I19" s="57">
        <f>I20</f>
        <v>0</v>
      </c>
      <c r="J19" s="350">
        <f>SUM(K19:M19)</f>
        <v>0</v>
      </c>
      <c r="K19" s="57">
        <f>K20</f>
        <v>0</v>
      </c>
      <c r="L19" s="57">
        <f>L20</f>
        <v>0</v>
      </c>
      <c r="M19" s="57">
        <f>M20</f>
        <v>0</v>
      </c>
    </row>
    <row r="20" spans="1:13" ht="51.75" thickBot="1">
      <c r="A20" s="67"/>
      <c r="B20" s="67"/>
      <c r="C20" s="67" t="s">
        <v>48</v>
      </c>
      <c r="D20" s="68" t="s">
        <v>49</v>
      </c>
      <c r="E20" s="57">
        <f>SUM(J20+F20)</f>
        <v>19500</v>
      </c>
      <c r="F20" s="350">
        <f>SUM(G20:I20)</f>
        <v>19500</v>
      </c>
      <c r="G20" s="61">
        <v>19500</v>
      </c>
      <c r="H20" s="61">
        <v>0</v>
      </c>
      <c r="I20" s="61">
        <v>0</v>
      </c>
      <c r="J20" s="350">
        <f>SUM(K20:M20)</f>
        <v>0</v>
      </c>
      <c r="K20" s="61">
        <v>0</v>
      </c>
      <c r="L20" s="61">
        <v>0</v>
      </c>
      <c r="M20" s="61">
        <v>0</v>
      </c>
    </row>
    <row r="21" spans="1:13" ht="14.25" customHeight="1" thickBot="1" thickTop="1">
      <c r="A21" s="69">
        <v>150</v>
      </c>
      <c r="B21" s="69"/>
      <c r="C21" s="69"/>
      <c r="D21" s="65" t="s">
        <v>297</v>
      </c>
      <c r="E21" s="53">
        <f>SUM(E22)</f>
        <v>329202</v>
      </c>
      <c r="F21" s="349">
        <f aca="true" t="shared" si="2" ref="F21:M21">SUM(F22)</f>
        <v>329202</v>
      </c>
      <c r="G21" s="53">
        <f>SUM(G22)</f>
        <v>329202</v>
      </c>
      <c r="H21" s="53">
        <f t="shared" si="2"/>
        <v>0</v>
      </c>
      <c r="I21" s="53">
        <f t="shared" si="2"/>
        <v>0</v>
      </c>
      <c r="J21" s="349">
        <f t="shared" si="2"/>
        <v>0</v>
      </c>
      <c r="K21" s="53">
        <f t="shared" si="2"/>
        <v>0</v>
      </c>
      <c r="L21" s="53">
        <f t="shared" si="2"/>
        <v>0</v>
      </c>
      <c r="M21" s="53">
        <f t="shared" si="2"/>
        <v>0</v>
      </c>
    </row>
    <row r="22" spans="1:13" ht="26.25" thickTop="1">
      <c r="A22" s="54"/>
      <c r="B22" s="54">
        <v>15013</v>
      </c>
      <c r="C22" s="54"/>
      <c r="D22" s="56" t="s">
        <v>298</v>
      </c>
      <c r="E22" s="57">
        <f>SUM(J22+F22)</f>
        <v>329202</v>
      </c>
      <c r="F22" s="350">
        <f>SUM(G22:I22)</f>
        <v>329202</v>
      </c>
      <c r="G22" s="57">
        <f>G23+G24</f>
        <v>329202</v>
      </c>
      <c r="H22" s="57">
        <f>H23+H24</f>
        <v>0</v>
      </c>
      <c r="I22" s="57">
        <f>I24+I23</f>
        <v>0</v>
      </c>
      <c r="J22" s="350">
        <f>SUM(K22:M22)</f>
        <v>0</v>
      </c>
      <c r="K22" s="57">
        <f>K23+K24</f>
        <v>0</v>
      </c>
      <c r="L22" s="57">
        <f>L23+L24</f>
        <v>0</v>
      </c>
      <c r="M22" s="57">
        <f>M24+M23</f>
        <v>0</v>
      </c>
    </row>
    <row r="23" spans="1:13" ht="25.5">
      <c r="A23" s="70"/>
      <c r="B23" s="70"/>
      <c r="C23" s="70">
        <v>2008</v>
      </c>
      <c r="D23" s="448" t="s">
        <v>295</v>
      </c>
      <c r="E23" s="57">
        <f>SUM(J23+F23)</f>
        <v>279822</v>
      </c>
      <c r="F23" s="350">
        <f>SUM(G23:I23)</f>
        <v>279822</v>
      </c>
      <c r="G23" s="61">
        <v>279822</v>
      </c>
      <c r="H23" s="61">
        <v>0</v>
      </c>
      <c r="I23" s="61">
        <v>0</v>
      </c>
      <c r="J23" s="350">
        <f>SUM(K23:M23)</f>
        <v>0</v>
      </c>
      <c r="K23" s="61"/>
      <c r="L23" s="61">
        <v>0</v>
      </c>
      <c r="M23" s="61">
        <v>0</v>
      </c>
    </row>
    <row r="24" spans="1:13" ht="29.25" customHeight="1" thickBot="1">
      <c r="A24" s="59"/>
      <c r="B24" s="59"/>
      <c r="C24" s="59">
        <v>2009</v>
      </c>
      <c r="D24" s="449" t="s">
        <v>295</v>
      </c>
      <c r="E24" s="113">
        <f>SUM(J24+F24)</f>
        <v>49380</v>
      </c>
      <c r="F24" s="352">
        <f>SUM(G24:I24)</f>
        <v>49380</v>
      </c>
      <c r="G24" s="113">
        <v>49380</v>
      </c>
      <c r="H24" s="113"/>
      <c r="I24" s="113">
        <v>0</v>
      </c>
      <c r="J24" s="352">
        <f>SUM(K24:M24)</f>
        <v>0</v>
      </c>
      <c r="K24" s="113">
        <v>0</v>
      </c>
      <c r="L24" s="113"/>
      <c r="M24" s="113">
        <v>0</v>
      </c>
    </row>
    <row r="25" spans="1:13" ht="14.25" thickBot="1" thickTop="1">
      <c r="A25" s="62" t="s">
        <v>308</v>
      </c>
      <c r="B25" s="63"/>
      <c r="C25" s="64"/>
      <c r="D25" s="65" t="s">
        <v>7</v>
      </c>
      <c r="E25" s="53">
        <f>SUM(E26)</f>
        <v>100000</v>
      </c>
      <c r="F25" s="416">
        <f aca="true" t="shared" si="3" ref="F25:M25">SUM(F26)</f>
        <v>0</v>
      </c>
      <c r="G25" s="53">
        <f t="shared" si="3"/>
        <v>0</v>
      </c>
      <c r="H25" s="53">
        <f t="shared" si="3"/>
        <v>0</v>
      </c>
      <c r="I25" s="53">
        <f t="shared" si="3"/>
        <v>0</v>
      </c>
      <c r="J25" s="416">
        <f t="shared" si="3"/>
        <v>100000</v>
      </c>
      <c r="K25" s="53">
        <f t="shared" si="3"/>
        <v>100000</v>
      </c>
      <c r="L25" s="53">
        <f t="shared" si="3"/>
        <v>0</v>
      </c>
      <c r="M25" s="53">
        <f t="shared" si="3"/>
        <v>0</v>
      </c>
    </row>
    <row r="26" spans="1:13" ht="17.25" customHeight="1" thickTop="1">
      <c r="A26" s="66"/>
      <c r="B26" s="66" t="s">
        <v>309</v>
      </c>
      <c r="C26" s="323"/>
      <c r="D26" s="56" t="s">
        <v>223</v>
      </c>
      <c r="E26" s="57">
        <f>SUM(J26+F26)</f>
        <v>100000</v>
      </c>
      <c r="F26" s="485">
        <f>SUM(G26:I26)</f>
        <v>0</v>
      </c>
      <c r="G26" s="57">
        <f>G27</f>
        <v>0</v>
      </c>
      <c r="H26" s="57">
        <f>H27</f>
        <v>0</v>
      </c>
      <c r="I26" s="57">
        <f>I27</f>
        <v>0</v>
      </c>
      <c r="J26" s="485">
        <f>SUM(K26:M26)</f>
        <v>100000</v>
      </c>
      <c r="K26" s="57">
        <f>K27</f>
        <v>100000</v>
      </c>
      <c r="L26" s="57">
        <f>L27</f>
        <v>0</v>
      </c>
      <c r="M26" s="57">
        <f>M27</f>
        <v>0</v>
      </c>
    </row>
    <row r="27" spans="1:13" ht="51.75" thickBot="1">
      <c r="A27" s="67"/>
      <c r="B27" s="67"/>
      <c r="C27" s="67" t="s">
        <v>310</v>
      </c>
      <c r="D27" s="68" t="s">
        <v>311</v>
      </c>
      <c r="E27" s="57">
        <f>SUM(J27+F27)</f>
        <v>100000</v>
      </c>
      <c r="F27" s="485">
        <f>SUM(G27:I27)</f>
        <v>0</v>
      </c>
      <c r="G27" s="61"/>
      <c r="H27" s="61">
        <v>0</v>
      </c>
      <c r="I27" s="61">
        <v>0</v>
      </c>
      <c r="J27" s="485">
        <f>SUM(K27:M27)</f>
        <v>100000</v>
      </c>
      <c r="K27" s="61">
        <v>100000</v>
      </c>
      <c r="L27" s="61">
        <v>0</v>
      </c>
      <c r="M27" s="61">
        <v>0</v>
      </c>
    </row>
    <row r="28" spans="1:13" ht="14.25" thickBot="1" thickTop="1">
      <c r="A28" s="69">
        <v>700</v>
      </c>
      <c r="B28" s="69"/>
      <c r="C28" s="69"/>
      <c r="D28" s="65" t="s">
        <v>8</v>
      </c>
      <c r="E28" s="53">
        <f>SUM(E29)</f>
        <v>612000</v>
      </c>
      <c r="F28" s="416">
        <f aca="true" t="shared" si="4" ref="F28:M28">SUM(F29)</f>
        <v>12000</v>
      </c>
      <c r="G28" s="53">
        <f t="shared" si="4"/>
        <v>0</v>
      </c>
      <c r="H28" s="53">
        <f t="shared" si="4"/>
        <v>12000</v>
      </c>
      <c r="I28" s="53">
        <f t="shared" si="4"/>
        <v>0</v>
      </c>
      <c r="J28" s="416">
        <f t="shared" si="4"/>
        <v>600000</v>
      </c>
      <c r="K28" s="53">
        <f t="shared" si="4"/>
        <v>600000</v>
      </c>
      <c r="L28" s="53">
        <f t="shared" si="4"/>
        <v>0</v>
      </c>
      <c r="M28" s="53">
        <f t="shared" si="4"/>
        <v>0</v>
      </c>
    </row>
    <row r="29" spans="1:13" ht="17.25" customHeight="1" thickTop="1">
      <c r="A29" s="54"/>
      <c r="B29" s="54">
        <v>70005</v>
      </c>
      <c r="C29" s="54"/>
      <c r="D29" s="55" t="s">
        <v>50</v>
      </c>
      <c r="E29" s="57">
        <f>SUM(J29+F29)</f>
        <v>612000</v>
      </c>
      <c r="F29" s="350">
        <f>SUM(G29:I29)</f>
        <v>12000</v>
      </c>
      <c r="G29" s="57">
        <f>G30+G31</f>
        <v>0</v>
      </c>
      <c r="H29" s="57">
        <f>H30+H31</f>
        <v>12000</v>
      </c>
      <c r="I29" s="57">
        <f>I31+I30</f>
        <v>0</v>
      </c>
      <c r="J29" s="350">
        <f>SUM(K29:M29)</f>
        <v>600000</v>
      </c>
      <c r="K29" s="57">
        <f>K30+K31</f>
        <v>600000</v>
      </c>
      <c r="L29" s="57">
        <f>L30+L31</f>
        <v>0</v>
      </c>
      <c r="M29" s="57">
        <f>M31+M30</f>
        <v>0</v>
      </c>
    </row>
    <row r="30" spans="1:13" ht="12.75">
      <c r="A30" s="70"/>
      <c r="B30" s="70"/>
      <c r="C30" s="70" t="s">
        <v>51</v>
      </c>
      <c r="D30" s="71" t="s">
        <v>52</v>
      </c>
      <c r="E30" s="57">
        <f>SUM(J30+F30)</f>
        <v>600000</v>
      </c>
      <c r="F30" s="350">
        <f>SUM(G30:I30)</f>
        <v>0</v>
      </c>
      <c r="G30" s="61"/>
      <c r="H30" s="61">
        <v>0</v>
      </c>
      <c r="I30" s="61">
        <v>0</v>
      </c>
      <c r="J30" s="350">
        <f>SUM(K30:M30)</f>
        <v>600000</v>
      </c>
      <c r="K30" s="61">
        <f>500000+100000</f>
        <v>600000</v>
      </c>
      <c r="L30" s="61">
        <v>0</v>
      </c>
      <c r="M30" s="61">
        <v>0</v>
      </c>
    </row>
    <row r="31" spans="1:13" ht="54.75" customHeight="1" thickBot="1">
      <c r="A31" s="58"/>
      <c r="B31" s="58"/>
      <c r="C31" s="58">
        <v>2110</v>
      </c>
      <c r="D31" s="68" t="s">
        <v>47</v>
      </c>
      <c r="E31" s="57">
        <f>SUM(J31+F31)</f>
        <v>12000</v>
      </c>
      <c r="F31" s="350">
        <f>SUM(G31:I31)</f>
        <v>12000</v>
      </c>
      <c r="G31" s="72">
        <v>0</v>
      </c>
      <c r="H31" s="72">
        <v>12000</v>
      </c>
      <c r="I31" s="72">
        <v>0</v>
      </c>
      <c r="J31" s="350">
        <f>SUM(K31:M31)</f>
        <v>0</v>
      </c>
      <c r="K31" s="72">
        <v>0</v>
      </c>
      <c r="L31" s="72"/>
      <c r="M31" s="72">
        <v>0</v>
      </c>
    </row>
    <row r="32" spans="1:13" ht="14.25" thickBot="1" thickTop="1">
      <c r="A32" s="69">
        <v>710</v>
      </c>
      <c r="B32" s="69"/>
      <c r="C32" s="69"/>
      <c r="D32" s="65" t="s">
        <v>9</v>
      </c>
      <c r="E32" s="53">
        <f>SUM(E33+E35+E37)</f>
        <v>352100</v>
      </c>
      <c r="F32" s="349">
        <f aca="true" t="shared" si="5" ref="F32:L32">SUM(F33+F35+F37)</f>
        <v>317100</v>
      </c>
      <c r="G32" s="53">
        <f t="shared" si="5"/>
        <v>0</v>
      </c>
      <c r="H32" s="53">
        <f t="shared" si="5"/>
        <v>317100</v>
      </c>
      <c r="I32" s="53">
        <f t="shared" si="5"/>
        <v>0</v>
      </c>
      <c r="J32" s="349">
        <f t="shared" si="5"/>
        <v>35000</v>
      </c>
      <c r="K32" s="53">
        <f t="shared" si="5"/>
        <v>0</v>
      </c>
      <c r="L32" s="53">
        <f t="shared" si="5"/>
        <v>35000</v>
      </c>
      <c r="M32" s="53">
        <f>M33+M35+M37</f>
        <v>0</v>
      </c>
    </row>
    <row r="33" spans="1:13" ht="13.5" thickTop="1">
      <c r="A33" s="54"/>
      <c r="B33" s="54">
        <v>71013</v>
      </c>
      <c r="C33" s="54"/>
      <c r="D33" s="55" t="s">
        <v>53</v>
      </c>
      <c r="E33" s="57">
        <f aca="true" t="shared" si="6" ref="E33:E39">SUM(J33+F33)</f>
        <v>73000</v>
      </c>
      <c r="F33" s="350">
        <f aca="true" t="shared" si="7" ref="F33:F39">SUM(G33:I33)</f>
        <v>73000</v>
      </c>
      <c r="G33" s="57">
        <f>G34</f>
        <v>0</v>
      </c>
      <c r="H33" s="57">
        <f>H34</f>
        <v>73000</v>
      </c>
      <c r="I33" s="57">
        <f>I34</f>
        <v>0</v>
      </c>
      <c r="J33" s="350">
        <f>SUM(K33:M33)</f>
        <v>0</v>
      </c>
      <c r="K33" s="57">
        <f>K34</f>
        <v>0</v>
      </c>
      <c r="L33" s="57">
        <f>L34</f>
        <v>0</v>
      </c>
      <c r="M33" s="57">
        <f>M34</f>
        <v>0</v>
      </c>
    </row>
    <row r="34" spans="1:13" ht="38.25">
      <c r="A34" s="70"/>
      <c r="B34" s="70"/>
      <c r="C34" s="70">
        <v>2110</v>
      </c>
      <c r="D34" s="68" t="s">
        <v>47</v>
      </c>
      <c r="E34" s="61">
        <f t="shared" si="6"/>
        <v>73000</v>
      </c>
      <c r="F34" s="351">
        <f t="shared" si="7"/>
        <v>73000</v>
      </c>
      <c r="G34" s="61">
        <v>0</v>
      </c>
      <c r="H34" s="61">
        <v>73000</v>
      </c>
      <c r="I34" s="61">
        <v>0</v>
      </c>
      <c r="J34" s="351">
        <f>SUM(K34:M34)</f>
        <v>0</v>
      </c>
      <c r="K34" s="61">
        <v>0</v>
      </c>
      <c r="L34" s="61"/>
      <c r="M34" s="61">
        <v>0</v>
      </c>
    </row>
    <row r="35" spans="1:13" ht="12.75">
      <c r="A35" s="70"/>
      <c r="B35" s="70">
        <v>71014</v>
      </c>
      <c r="C35" s="70"/>
      <c r="D35" s="71" t="s">
        <v>54</v>
      </c>
      <c r="E35" s="57">
        <f t="shared" si="6"/>
        <v>18000</v>
      </c>
      <c r="F35" s="350">
        <f t="shared" si="7"/>
        <v>18000</v>
      </c>
      <c r="G35" s="61">
        <f>G36</f>
        <v>0</v>
      </c>
      <c r="H35" s="61">
        <f>H36</f>
        <v>18000</v>
      </c>
      <c r="I35" s="61">
        <f>I36</f>
        <v>0</v>
      </c>
      <c r="J35" s="350">
        <f>SUM(K35:M35)</f>
        <v>0</v>
      </c>
      <c r="K35" s="61">
        <f>K36</f>
        <v>0</v>
      </c>
      <c r="L35" s="61">
        <f>L36</f>
        <v>0</v>
      </c>
      <c r="M35" s="61">
        <f>M36</f>
        <v>0</v>
      </c>
    </row>
    <row r="36" spans="1:13" ht="38.25">
      <c r="A36" s="70"/>
      <c r="B36" s="70"/>
      <c r="C36" s="70">
        <v>2110</v>
      </c>
      <c r="D36" s="68" t="s">
        <v>47</v>
      </c>
      <c r="E36" s="57">
        <f t="shared" si="6"/>
        <v>18000</v>
      </c>
      <c r="F36" s="350">
        <f t="shared" si="7"/>
        <v>18000</v>
      </c>
      <c r="G36" s="61">
        <v>0</v>
      </c>
      <c r="H36" s="61">
        <v>18000</v>
      </c>
      <c r="I36" s="61">
        <v>0</v>
      </c>
      <c r="J36" s="350">
        <f>SUM(K36:M36)</f>
        <v>0</v>
      </c>
      <c r="K36" s="61">
        <v>0</v>
      </c>
      <c r="L36" s="61"/>
      <c r="M36" s="61">
        <v>0</v>
      </c>
    </row>
    <row r="37" spans="1:13" ht="12.75">
      <c r="A37" s="70"/>
      <c r="B37" s="70">
        <v>71015</v>
      </c>
      <c r="C37" s="70"/>
      <c r="D37" s="71" t="s">
        <v>55</v>
      </c>
      <c r="E37" s="57">
        <f>SUM(J37+F37)</f>
        <v>261100</v>
      </c>
      <c r="F37" s="350">
        <f t="shared" si="7"/>
        <v>226100</v>
      </c>
      <c r="G37" s="61">
        <f>SUM(G38:G39)</f>
        <v>0</v>
      </c>
      <c r="H37" s="61">
        <f>SUM(H38:H39)</f>
        <v>226100</v>
      </c>
      <c r="I37" s="61">
        <f>SUM(I38:I39)</f>
        <v>0</v>
      </c>
      <c r="J37" s="351">
        <f>J38+J39</f>
        <v>35000</v>
      </c>
      <c r="K37" s="61">
        <f>SUM(K38:K39)</f>
        <v>0</v>
      </c>
      <c r="L37" s="61">
        <f>SUM(L38:L39)</f>
        <v>35000</v>
      </c>
      <c r="M37" s="61">
        <f>SUM(M38:M39)</f>
        <v>0</v>
      </c>
    </row>
    <row r="38" spans="1:13" ht="38.25">
      <c r="A38" s="70"/>
      <c r="B38" s="70"/>
      <c r="C38" s="70">
        <v>2110</v>
      </c>
      <c r="D38" s="68" t="s">
        <v>47</v>
      </c>
      <c r="E38" s="57">
        <f t="shared" si="6"/>
        <v>226100</v>
      </c>
      <c r="F38" s="350">
        <f t="shared" si="7"/>
        <v>226100</v>
      </c>
      <c r="G38" s="61">
        <v>0</v>
      </c>
      <c r="H38" s="61">
        <v>226100</v>
      </c>
      <c r="I38" s="61">
        <v>0</v>
      </c>
      <c r="J38" s="350">
        <f>SUM(K38:M38)</f>
        <v>0</v>
      </c>
      <c r="K38" s="61">
        <v>0</v>
      </c>
      <c r="L38" s="61">
        <v>0</v>
      </c>
      <c r="M38" s="61">
        <v>0</v>
      </c>
    </row>
    <row r="39" spans="1:13" ht="49.5" customHeight="1" thickBot="1">
      <c r="A39" s="399"/>
      <c r="B39" s="399"/>
      <c r="C39" s="399">
        <v>6410</v>
      </c>
      <c r="D39" s="400" t="s">
        <v>289</v>
      </c>
      <c r="E39" s="57">
        <f t="shared" si="6"/>
        <v>35000</v>
      </c>
      <c r="F39" s="350">
        <f t="shared" si="7"/>
        <v>0</v>
      </c>
      <c r="G39" s="401">
        <v>0</v>
      </c>
      <c r="H39" s="401">
        <v>0</v>
      </c>
      <c r="I39" s="401"/>
      <c r="J39" s="350">
        <f>SUM(K39:M39)</f>
        <v>35000</v>
      </c>
      <c r="K39" s="401"/>
      <c r="L39" s="401">
        <v>35000</v>
      </c>
      <c r="M39" s="401">
        <v>0</v>
      </c>
    </row>
    <row r="40" spans="1:13" ht="14.25" thickBot="1" thickTop="1">
      <c r="A40" s="69">
        <v>750</v>
      </c>
      <c r="B40" s="69"/>
      <c r="C40" s="69"/>
      <c r="D40" s="65" t="s">
        <v>56</v>
      </c>
      <c r="E40" s="53">
        <f>SUM(E41+E43+E49)</f>
        <v>354200</v>
      </c>
      <c r="F40" s="349">
        <f aca="true" t="shared" si="8" ref="F40:M40">SUM(F41+F43+F49)</f>
        <v>354200</v>
      </c>
      <c r="G40" s="53">
        <f t="shared" si="8"/>
        <v>237000</v>
      </c>
      <c r="H40" s="53">
        <f t="shared" si="8"/>
        <v>116200</v>
      </c>
      <c r="I40" s="53">
        <f t="shared" si="8"/>
        <v>1000</v>
      </c>
      <c r="J40" s="349">
        <f t="shared" si="8"/>
        <v>0</v>
      </c>
      <c r="K40" s="53">
        <f t="shared" si="8"/>
        <v>0</v>
      </c>
      <c r="L40" s="53">
        <f t="shared" si="8"/>
        <v>0</v>
      </c>
      <c r="M40" s="53">
        <f t="shared" si="8"/>
        <v>0</v>
      </c>
    </row>
    <row r="41" spans="1:13" ht="13.5" thickTop="1">
      <c r="A41" s="54"/>
      <c r="B41" s="54">
        <v>75011</v>
      </c>
      <c r="C41" s="54"/>
      <c r="D41" s="55" t="s">
        <v>57</v>
      </c>
      <c r="E41" s="57">
        <f>SUM(J41+F41)</f>
        <v>102200</v>
      </c>
      <c r="F41" s="350">
        <f>SUM(G41:I41)</f>
        <v>102200</v>
      </c>
      <c r="G41" s="57">
        <f>G42</f>
        <v>0</v>
      </c>
      <c r="H41" s="57">
        <f aca="true" t="shared" si="9" ref="H41:M41">H42</f>
        <v>102200</v>
      </c>
      <c r="I41" s="57">
        <f t="shared" si="9"/>
        <v>0</v>
      </c>
      <c r="J41" s="350">
        <f>SUM(K41:M41)</f>
        <v>0</v>
      </c>
      <c r="K41" s="57">
        <f t="shared" si="9"/>
        <v>0</v>
      </c>
      <c r="L41" s="57">
        <f t="shared" si="9"/>
        <v>0</v>
      </c>
      <c r="M41" s="57">
        <f t="shared" si="9"/>
        <v>0</v>
      </c>
    </row>
    <row r="42" spans="1:13" ht="38.25">
      <c r="A42" s="70"/>
      <c r="B42" s="70"/>
      <c r="C42" s="70">
        <v>2110</v>
      </c>
      <c r="D42" s="68" t="s">
        <v>47</v>
      </c>
      <c r="E42" s="57">
        <f aca="true" t="shared" si="10" ref="E42:E51">SUM(J42+F42)</f>
        <v>102200</v>
      </c>
      <c r="F42" s="350">
        <f aca="true" t="shared" si="11" ref="F42:F51">SUM(G42:I42)</f>
        <v>102200</v>
      </c>
      <c r="G42" s="61">
        <v>0</v>
      </c>
      <c r="H42" s="61">
        <v>102200</v>
      </c>
      <c r="I42" s="61">
        <v>0</v>
      </c>
      <c r="J42" s="350">
        <f>SUM(K42:M42)</f>
        <v>0</v>
      </c>
      <c r="K42" s="61">
        <v>0</v>
      </c>
      <c r="L42" s="61">
        <v>0</v>
      </c>
      <c r="M42" s="61">
        <v>0</v>
      </c>
    </row>
    <row r="43" spans="1:13" ht="12.75">
      <c r="A43" s="70"/>
      <c r="B43" s="70">
        <v>75020</v>
      </c>
      <c r="C43" s="70"/>
      <c r="D43" s="71" t="s">
        <v>58</v>
      </c>
      <c r="E43" s="57">
        <f t="shared" si="10"/>
        <v>237000</v>
      </c>
      <c r="F43" s="350">
        <f>SUM(G43:I43)</f>
        <v>237000</v>
      </c>
      <c r="G43" s="61">
        <f>SUM(G44:G48)</f>
        <v>237000</v>
      </c>
      <c r="H43" s="61">
        <f>SUM(H44:H48)</f>
        <v>0</v>
      </c>
      <c r="I43" s="61">
        <f>SUM(I44:I48)</f>
        <v>0</v>
      </c>
      <c r="J43" s="350">
        <f aca="true" t="shared" si="12" ref="J43:J51">SUM(K43:M43)</f>
        <v>0</v>
      </c>
      <c r="K43" s="61">
        <f>SUM(K44:K48)</f>
        <v>0</v>
      </c>
      <c r="L43" s="61">
        <f>SUM(L44:L48)</f>
        <v>0</v>
      </c>
      <c r="M43" s="61">
        <f>SUM(M44:M48)</f>
        <v>0</v>
      </c>
    </row>
    <row r="44" spans="1:13" ht="25.5">
      <c r="A44" s="70"/>
      <c r="B44" s="70"/>
      <c r="C44" s="67" t="s">
        <v>61</v>
      </c>
      <c r="D44" s="73" t="s">
        <v>62</v>
      </c>
      <c r="E44" s="57">
        <f t="shared" si="10"/>
        <v>70000</v>
      </c>
      <c r="F44" s="350">
        <f t="shared" si="11"/>
        <v>70000</v>
      </c>
      <c r="G44" s="61">
        <f>130000-60000</f>
        <v>70000</v>
      </c>
      <c r="H44" s="61"/>
      <c r="I44" s="61"/>
      <c r="J44" s="350"/>
      <c r="K44" s="61"/>
      <c r="L44" s="61"/>
      <c r="M44" s="61"/>
    </row>
    <row r="45" spans="1:13" ht="12.75">
      <c r="A45" s="70"/>
      <c r="B45" s="70"/>
      <c r="C45" s="67" t="s">
        <v>63</v>
      </c>
      <c r="D45" s="73" t="s">
        <v>64</v>
      </c>
      <c r="E45" s="61">
        <f t="shared" si="10"/>
        <v>4000</v>
      </c>
      <c r="F45" s="351">
        <f t="shared" si="11"/>
        <v>4000</v>
      </c>
      <c r="G45" s="61">
        <v>4000</v>
      </c>
      <c r="H45" s="61"/>
      <c r="I45" s="61"/>
      <c r="J45" s="351"/>
      <c r="K45" s="61"/>
      <c r="L45" s="61"/>
      <c r="M45" s="61"/>
    </row>
    <row r="46" spans="1:13" ht="51">
      <c r="A46" s="70"/>
      <c r="B46" s="70"/>
      <c r="C46" s="67" t="s">
        <v>65</v>
      </c>
      <c r="D46" s="73" t="s">
        <v>66</v>
      </c>
      <c r="E46" s="61">
        <f t="shared" si="10"/>
        <v>98000</v>
      </c>
      <c r="F46" s="351">
        <f t="shared" si="11"/>
        <v>98000</v>
      </c>
      <c r="G46" s="61">
        <f>38000+60000</f>
        <v>98000</v>
      </c>
      <c r="H46" s="61">
        <v>0</v>
      </c>
      <c r="I46" s="61">
        <v>0</v>
      </c>
      <c r="J46" s="351">
        <f t="shared" si="12"/>
        <v>0</v>
      </c>
      <c r="K46" s="61"/>
      <c r="L46" s="61">
        <v>0</v>
      </c>
      <c r="M46" s="61">
        <v>0</v>
      </c>
    </row>
    <row r="47" spans="1:13" ht="12.75">
      <c r="A47" s="70"/>
      <c r="B47" s="70"/>
      <c r="C47" s="67" t="s">
        <v>67</v>
      </c>
      <c r="D47" s="73" t="s">
        <v>68</v>
      </c>
      <c r="E47" s="57">
        <f t="shared" si="10"/>
        <v>50000</v>
      </c>
      <c r="F47" s="350">
        <f t="shared" si="11"/>
        <v>50000</v>
      </c>
      <c r="G47" s="61">
        <v>50000</v>
      </c>
      <c r="H47" s="61">
        <v>0</v>
      </c>
      <c r="I47" s="61">
        <v>0</v>
      </c>
      <c r="J47" s="350">
        <f t="shared" si="12"/>
        <v>0</v>
      </c>
      <c r="K47" s="61"/>
      <c r="L47" s="61">
        <v>0</v>
      </c>
      <c r="M47" s="61">
        <v>0</v>
      </c>
    </row>
    <row r="48" spans="1:13" ht="12.75">
      <c r="A48" s="70"/>
      <c r="B48" s="70"/>
      <c r="C48" s="67" t="s">
        <v>69</v>
      </c>
      <c r="D48" s="73" t="s">
        <v>70</v>
      </c>
      <c r="E48" s="57">
        <f t="shared" si="10"/>
        <v>15000</v>
      </c>
      <c r="F48" s="350">
        <f t="shared" si="11"/>
        <v>15000</v>
      </c>
      <c r="G48" s="61">
        <v>15000</v>
      </c>
      <c r="H48" s="61"/>
      <c r="I48" s="61"/>
      <c r="J48" s="350"/>
      <c r="K48" s="61"/>
      <c r="L48" s="61"/>
      <c r="M48" s="61"/>
    </row>
    <row r="49" spans="1:13" ht="12.75">
      <c r="A49" s="70"/>
      <c r="B49" s="70">
        <v>75045</v>
      </c>
      <c r="C49" s="70"/>
      <c r="D49" s="71" t="s">
        <v>71</v>
      </c>
      <c r="E49" s="57">
        <f t="shared" si="10"/>
        <v>15000</v>
      </c>
      <c r="F49" s="350">
        <f t="shared" si="11"/>
        <v>15000</v>
      </c>
      <c r="G49" s="61">
        <f>SUM(G50:G51)</f>
        <v>0</v>
      </c>
      <c r="H49" s="61">
        <f>SUM(H50:H51)</f>
        <v>14000</v>
      </c>
      <c r="I49" s="61">
        <f>SUM(I50:I51)</f>
        <v>1000</v>
      </c>
      <c r="J49" s="350">
        <f t="shared" si="12"/>
        <v>0</v>
      </c>
      <c r="K49" s="61">
        <f>SUM(K50:K51)</f>
        <v>0</v>
      </c>
      <c r="L49" s="61">
        <f>SUM(L50:L51)</f>
        <v>0</v>
      </c>
      <c r="M49" s="61">
        <f>SUM(M50:M51)</f>
        <v>0</v>
      </c>
    </row>
    <row r="50" spans="1:13" ht="38.25">
      <c r="A50" s="70"/>
      <c r="B50" s="70"/>
      <c r="C50" s="70">
        <v>2110</v>
      </c>
      <c r="D50" s="68" t="s">
        <v>47</v>
      </c>
      <c r="E50" s="57">
        <f t="shared" si="10"/>
        <v>14000</v>
      </c>
      <c r="F50" s="350">
        <f t="shared" si="11"/>
        <v>14000</v>
      </c>
      <c r="G50" s="61">
        <v>0</v>
      </c>
      <c r="H50" s="61">
        <v>14000</v>
      </c>
      <c r="I50" s="61">
        <v>0</v>
      </c>
      <c r="J50" s="350">
        <f t="shared" si="12"/>
        <v>0</v>
      </c>
      <c r="K50" s="61">
        <v>0</v>
      </c>
      <c r="L50" s="61">
        <v>0</v>
      </c>
      <c r="M50" s="61">
        <v>0</v>
      </c>
    </row>
    <row r="51" spans="1:13" ht="39" thickBot="1">
      <c r="A51" s="58"/>
      <c r="B51" s="58"/>
      <c r="C51" s="58">
        <v>2120</v>
      </c>
      <c r="D51" s="68" t="s">
        <v>72</v>
      </c>
      <c r="E51" s="57">
        <f t="shared" si="10"/>
        <v>1000</v>
      </c>
      <c r="F51" s="350">
        <f t="shared" si="11"/>
        <v>1000</v>
      </c>
      <c r="G51" s="72">
        <v>0</v>
      </c>
      <c r="H51" s="72">
        <v>0</v>
      </c>
      <c r="I51" s="72">
        <v>1000</v>
      </c>
      <c r="J51" s="350">
        <f t="shared" si="12"/>
        <v>0</v>
      </c>
      <c r="K51" s="72">
        <v>0</v>
      </c>
      <c r="L51" s="72">
        <v>0</v>
      </c>
      <c r="M51" s="72"/>
    </row>
    <row r="52" spans="1:13" ht="27" thickBot="1" thickTop="1">
      <c r="A52" s="69">
        <v>754</v>
      </c>
      <c r="B52" s="69"/>
      <c r="C52" s="69"/>
      <c r="D52" s="74" t="s">
        <v>10</v>
      </c>
      <c r="E52" s="53">
        <f>SUM(E53)</f>
        <v>2767015</v>
      </c>
      <c r="F52" s="349">
        <f aca="true" t="shared" si="13" ref="F52:M52">SUM(F53)</f>
        <v>2767015</v>
      </c>
      <c r="G52" s="53">
        <f t="shared" si="13"/>
        <v>15</v>
      </c>
      <c r="H52" s="53">
        <f t="shared" si="13"/>
        <v>2767000</v>
      </c>
      <c r="I52" s="53">
        <f t="shared" si="13"/>
        <v>0</v>
      </c>
      <c r="J52" s="349">
        <f t="shared" si="13"/>
        <v>0</v>
      </c>
      <c r="K52" s="53">
        <f t="shared" si="13"/>
        <v>0</v>
      </c>
      <c r="L52" s="53">
        <f t="shared" si="13"/>
        <v>0</v>
      </c>
      <c r="M52" s="53">
        <f t="shared" si="13"/>
        <v>0</v>
      </c>
    </row>
    <row r="53" spans="1:13" ht="13.5" thickTop="1">
      <c r="A53" s="54"/>
      <c r="B53" s="54">
        <v>75411</v>
      </c>
      <c r="C53" s="54"/>
      <c r="D53" s="55" t="s">
        <v>73</v>
      </c>
      <c r="E53" s="57">
        <f>SUM(J53+F53)</f>
        <v>2767015</v>
      </c>
      <c r="F53" s="350">
        <f aca="true" t="shared" si="14" ref="F53:F62">SUM(G53:I53)</f>
        <v>2767015</v>
      </c>
      <c r="G53" s="57">
        <f>SUM(G54:G55)</f>
        <v>15</v>
      </c>
      <c r="H53" s="57">
        <f>SUM(H54:H55)</f>
        <v>2767000</v>
      </c>
      <c r="I53" s="57">
        <f>SUM(I54:I55)</f>
        <v>0</v>
      </c>
      <c r="J53" s="350">
        <f aca="true" t="shared" si="15" ref="J53:J62">SUM(K53:M53)</f>
        <v>0</v>
      </c>
      <c r="K53" s="57">
        <f>SUM(K54:K55)</f>
        <v>0</v>
      </c>
      <c r="L53" s="57">
        <f>SUM(L54:L55)</f>
        <v>0</v>
      </c>
      <c r="M53" s="57">
        <f>SUM(M54:M55)</f>
        <v>0</v>
      </c>
    </row>
    <row r="54" spans="1:13" ht="12.75">
      <c r="A54" s="70"/>
      <c r="B54" s="70"/>
      <c r="C54" s="70" t="s">
        <v>74</v>
      </c>
      <c r="D54" s="71" t="s">
        <v>70</v>
      </c>
      <c r="E54" s="61">
        <f>SUM(J54+F54)</f>
        <v>15</v>
      </c>
      <c r="F54" s="351">
        <f t="shared" si="14"/>
        <v>15</v>
      </c>
      <c r="G54" s="61">
        <v>15</v>
      </c>
      <c r="H54" s="61">
        <v>0</v>
      </c>
      <c r="I54" s="61">
        <v>0</v>
      </c>
      <c r="J54" s="351">
        <f t="shared" si="15"/>
        <v>0</v>
      </c>
      <c r="K54" s="61">
        <v>0</v>
      </c>
      <c r="L54" s="61">
        <v>0</v>
      </c>
      <c r="M54" s="61">
        <v>0</v>
      </c>
    </row>
    <row r="55" spans="1:13" ht="39" thickBot="1">
      <c r="A55" s="59"/>
      <c r="B55" s="59"/>
      <c r="C55" s="59">
        <v>2110</v>
      </c>
      <c r="D55" s="309" t="s">
        <v>47</v>
      </c>
      <c r="E55" s="113">
        <f>SUM(J55+F55)</f>
        <v>2767000</v>
      </c>
      <c r="F55" s="352">
        <f t="shared" si="14"/>
        <v>2767000</v>
      </c>
      <c r="G55" s="113">
        <v>0</v>
      </c>
      <c r="H55" s="113">
        <v>2767000</v>
      </c>
      <c r="I55" s="113">
        <v>0</v>
      </c>
      <c r="J55" s="352">
        <f t="shared" si="15"/>
        <v>0</v>
      </c>
      <c r="K55" s="113">
        <v>0</v>
      </c>
      <c r="L55" s="113">
        <v>0</v>
      </c>
      <c r="M55" s="113">
        <v>0</v>
      </c>
    </row>
    <row r="56" spans="1:13" ht="60.75" customHeight="1" thickBot="1" thickTop="1">
      <c r="A56" s="69">
        <v>756</v>
      </c>
      <c r="B56" s="69"/>
      <c r="C56" s="69"/>
      <c r="D56" s="74" t="s">
        <v>24</v>
      </c>
      <c r="E56" s="53">
        <f>G56+H56+I56</f>
        <v>4587206</v>
      </c>
      <c r="F56" s="349">
        <f t="shared" si="14"/>
        <v>4587206</v>
      </c>
      <c r="G56" s="53">
        <f>G60+G57</f>
        <v>4587206</v>
      </c>
      <c r="H56" s="53">
        <f>H60+H57</f>
        <v>0</v>
      </c>
      <c r="I56" s="53">
        <f>I60+I57</f>
        <v>0</v>
      </c>
      <c r="J56" s="349">
        <f t="shared" si="15"/>
        <v>0</v>
      </c>
      <c r="K56" s="53">
        <f>K60</f>
        <v>0</v>
      </c>
      <c r="L56" s="53">
        <f>L60</f>
        <v>0</v>
      </c>
      <c r="M56" s="53">
        <f>M60</f>
        <v>0</v>
      </c>
    </row>
    <row r="57" spans="1:13" ht="26.25" thickTop="1">
      <c r="A57" s="54"/>
      <c r="B57" s="54">
        <v>75618</v>
      </c>
      <c r="C57" s="54"/>
      <c r="D57" s="56" t="s">
        <v>75</v>
      </c>
      <c r="E57" s="57">
        <f>SUM(J57+F57)</f>
        <v>1213100</v>
      </c>
      <c r="F57" s="350">
        <f>SUM(G57:I57)</f>
        <v>1213100</v>
      </c>
      <c r="G57" s="57">
        <f>SUM(G58:G59)</f>
        <v>1213100</v>
      </c>
      <c r="H57" s="57">
        <f aca="true" t="shared" si="16" ref="H57:M57">SUM(H58:H59)</f>
        <v>0</v>
      </c>
      <c r="I57" s="57">
        <f t="shared" si="16"/>
        <v>0</v>
      </c>
      <c r="J57" s="350">
        <f t="shared" si="16"/>
        <v>0</v>
      </c>
      <c r="K57" s="57">
        <f t="shared" si="16"/>
        <v>0</v>
      </c>
      <c r="L57" s="57">
        <f t="shared" si="16"/>
        <v>0</v>
      </c>
      <c r="M57" s="57">
        <f t="shared" si="16"/>
        <v>0</v>
      </c>
    </row>
    <row r="58" spans="1:13" ht="12.75">
      <c r="A58" s="70"/>
      <c r="B58" s="70"/>
      <c r="C58" s="70" t="s">
        <v>59</v>
      </c>
      <c r="D58" s="71" t="s">
        <v>60</v>
      </c>
      <c r="E58" s="57">
        <f>SUM(J58+F58)</f>
        <v>1060000</v>
      </c>
      <c r="F58" s="350">
        <f>SUM(G58:I58)</f>
        <v>1060000</v>
      </c>
      <c r="G58" s="61">
        <f>900000+163100-3100</f>
        <v>1060000</v>
      </c>
      <c r="H58" s="61">
        <v>0</v>
      </c>
      <c r="I58" s="61">
        <v>0</v>
      </c>
      <c r="J58" s="350">
        <f>SUM(K58:M58)</f>
        <v>0</v>
      </c>
      <c r="K58" s="61"/>
      <c r="L58" s="61">
        <v>0</v>
      </c>
      <c r="M58" s="61">
        <v>0</v>
      </c>
    </row>
    <row r="59" spans="1:13" ht="38.25">
      <c r="A59" s="70"/>
      <c r="B59" s="70"/>
      <c r="C59" s="70" t="s">
        <v>76</v>
      </c>
      <c r="D59" s="68" t="s">
        <v>77</v>
      </c>
      <c r="E59" s="61">
        <f>SUM(J59+F59)</f>
        <v>153100</v>
      </c>
      <c r="F59" s="351">
        <f>SUM(G59:I59)</f>
        <v>153100</v>
      </c>
      <c r="G59" s="61">
        <f>80000+60000+10000+3100</f>
        <v>153100</v>
      </c>
      <c r="H59" s="61">
        <v>0</v>
      </c>
      <c r="I59" s="61">
        <v>0</v>
      </c>
      <c r="J59" s="351">
        <f>SUM(K59:M59)</f>
        <v>0</v>
      </c>
      <c r="K59" s="61"/>
      <c r="L59" s="61">
        <v>0</v>
      </c>
      <c r="M59" s="61">
        <v>0</v>
      </c>
    </row>
    <row r="60" spans="1:13" ht="25.5">
      <c r="A60" s="70"/>
      <c r="B60" s="70">
        <v>75622</v>
      </c>
      <c r="C60" s="70"/>
      <c r="D60" s="68" t="s">
        <v>78</v>
      </c>
      <c r="E60" s="61">
        <f>G60+H60+I60</f>
        <v>3374106</v>
      </c>
      <c r="F60" s="351">
        <f t="shared" si="14"/>
        <v>3374106</v>
      </c>
      <c r="G60" s="61">
        <f>G61+G62</f>
        <v>3374106</v>
      </c>
      <c r="H60" s="57">
        <f>H61+H62</f>
        <v>0</v>
      </c>
      <c r="I60" s="57">
        <f>I61+I62</f>
        <v>0</v>
      </c>
      <c r="J60" s="350">
        <f t="shared" si="15"/>
        <v>0</v>
      </c>
      <c r="K60" s="57">
        <f>K61+K62</f>
        <v>0</v>
      </c>
      <c r="L60" s="57">
        <f>L61+L62</f>
        <v>0</v>
      </c>
      <c r="M60" s="57">
        <f>M61+M62</f>
        <v>0</v>
      </c>
    </row>
    <row r="61" spans="1:13" ht="12.75">
      <c r="A61" s="70"/>
      <c r="B61" s="70"/>
      <c r="C61" s="70" t="s">
        <v>79</v>
      </c>
      <c r="D61" s="71" t="s">
        <v>80</v>
      </c>
      <c r="E61" s="61">
        <f>G61</f>
        <v>3254106</v>
      </c>
      <c r="F61" s="350">
        <f t="shared" si="14"/>
        <v>3254106</v>
      </c>
      <c r="G61" s="61">
        <v>3254106</v>
      </c>
      <c r="H61" s="61">
        <v>0</v>
      </c>
      <c r="I61" s="61">
        <v>0</v>
      </c>
      <c r="J61" s="351">
        <f t="shared" si="15"/>
        <v>0</v>
      </c>
      <c r="K61" s="61"/>
      <c r="L61" s="61">
        <v>0</v>
      </c>
      <c r="M61" s="61">
        <v>0</v>
      </c>
    </row>
    <row r="62" spans="1:13" ht="13.5" thickBot="1">
      <c r="A62" s="58"/>
      <c r="B62" s="58"/>
      <c r="C62" s="58" t="s">
        <v>81</v>
      </c>
      <c r="D62" s="75" t="s">
        <v>82</v>
      </c>
      <c r="E62" s="72">
        <f>G62</f>
        <v>120000</v>
      </c>
      <c r="F62" s="350">
        <f t="shared" si="14"/>
        <v>120000</v>
      </c>
      <c r="G62" s="72">
        <v>120000</v>
      </c>
      <c r="H62" s="72">
        <v>0</v>
      </c>
      <c r="I62" s="72">
        <v>0</v>
      </c>
      <c r="J62" s="351">
        <f t="shared" si="15"/>
        <v>0</v>
      </c>
      <c r="K62" s="72"/>
      <c r="L62" s="72">
        <v>0</v>
      </c>
      <c r="M62" s="72">
        <v>0</v>
      </c>
    </row>
    <row r="63" spans="1:13" ht="14.25" thickBot="1" thickTop="1">
      <c r="A63" s="69">
        <v>758</v>
      </c>
      <c r="B63" s="69"/>
      <c r="C63" s="69"/>
      <c r="D63" s="65" t="s">
        <v>12</v>
      </c>
      <c r="E63" s="53">
        <f>SUM(E64+E66+E68)</f>
        <v>18081414</v>
      </c>
      <c r="F63" s="349">
        <f aca="true" t="shared" si="17" ref="F63:M63">SUM(F64+F66+F68)</f>
        <v>18081414</v>
      </c>
      <c r="G63" s="53">
        <f t="shared" si="17"/>
        <v>18081414</v>
      </c>
      <c r="H63" s="53">
        <f t="shared" si="17"/>
        <v>0</v>
      </c>
      <c r="I63" s="53">
        <f t="shared" si="17"/>
        <v>0</v>
      </c>
      <c r="J63" s="349">
        <f t="shared" si="17"/>
        <v>0</v>
      </c>
      <c r="K63" s="53">
        <f t="shared" si="17"/>
        <v>0</v>
      </c>
      <c r="L63" s="53">
        <f t="shared" si="17"/>
        <v>0</v>
      </c>
      <c r="M63" s="53">
        <f t="shared" si="17"/>
        <v>0</v>
      </c>
    </row>
    <row r="64" spans="1:13" ht="26.25" thickTop="1">
      <c r="A64" s="54"/>
      <c r="B64" s="54">
        <v>75801</v>
      </c>
      <c r="C64" s="54"/>
      <c r="D64" s="56" t="s">
        <v>83</v>
      </c>
      <c r="E64" s="57">
        <f aca="true" t="shared" si="18" ref="E64:E69">SUM(J64+F64)</f>
        <v>11646992</v>
      </c>
      <c r="F64" s="350">
        <f aca="true" t="shared" si="19" ref="F64:F69">SUM(G64:I64)</f>
        <v>11646992</v>
      </c>
      <c r="G64" s="57">
        <f>G65</f>
        <v>11646992</v>
      </c>
      <c r="H64" s="57">
        <f>H65</f>
        <v>0</v>
      </c>
      <c r="I64" s="57">
        <f>I65</f>
        <v>0</v>
      </c>
      <c r="J64" s="350">
        <f aca="true" t="shared" si="20" ref="J64:J69">SUM(K64:M64)</f>
        <v>0</v>
      </c>
      <c r="K64" s="57">
        <f>K65</f>
        <v>0</v>
      </c>
      <c r="L64" s="57">
        <f>L65</f>
        <v>0</v>
      </c>
      <c r="M64" s="57">
        <f>M65</f>
        <v>0</v>
      </c>
    </row>
    <row r="65" spans="1:13" ht="12.75">
      <c r="A65" s="70"/>
      <c r="B65" s="70"/>
      <c r="C65" s="70">
        <v>2920</v>
      </c>
      <c r="D65" s="71" t="s">
        <v>84</v>
      </c>
      <c r="E65" s="57">
        <f t="shared" si="18"/>
        <v>11646992</v>
      </c>
      <c r="F65" s="350">
        <f t="shared" si="19"/>
        <v>11646992</v>
      </c>
      <c r="G65" s="61">
        <v>11646992</v>
      </c>
      <c r="H65" s="61">
        <v>0</v>
      </c>
      <c r="I65" s="61">
        <v>0</v>
      </c>
      <c r="J65" s="350">
        <f t="shared" si="20"/>
        <v>0</v>
      </c>
      <c r="K65" s="61"/>
      <c r="L65" s="61">
        <v>0</v>
      </c>
      <c r="M65" s="61">
        <v>0</v>
      </c>
    </row>
    <row r="66" spans="1:13" ht="12.75">
      <c r="A66" s="70"/>
      <c r="B66" s="70">
        <v>75803</v>
      </c>
      <c r="C66" s="70"/>
      <c r="D66" s="68" t="s">
        <v>85</v>
      </c>
      <c r="E66" s="57">
        <f t="shared" si="18"/>
        <v>5055505</v>
      </c>
      <c r="F66" s="350">
        <f t="shared" si="19"/>
        <v>5055505</v>
      </c>
      <c r="G66" s="61">
        <f>G67</f>
        <v>5055505</v>
      </c>
      <c r="H66" s="61">
        <f>H67</f>
        <v>0</v>
      </c>
      <c r="I66" s="61">
        <f>I67</f>
        <v>0</v>
      </c>
      <c r="J66" s="350">
        <f t="shared" si="20"/>
        <v>0</v>
      </c>
      <c r="K66" s="61">
        <f>K67</f>
        <v>0</v>
      </c>
      <c r="L66" s="61">
        <f>L67</f>
        <v>0</v>
      </c>
      <c r="M66" s="61">
        <f>M67</f>
        <v>0</v>
      </c>
    </row>
    <row r="67" spans="1:13" ht="12.75">
      <c r="A67" s="70"/>
      <c r="B67" s="70"/>
      <c r="C67" s="70">
        <v>2920</v>
      </c>
      <c r="D67" s="71" t="s">
        <v>84</v>
      </c>
      <c r="E67" s="57">
        <f t="shared" si="18"/>
        <v>5055505</v>
      </c>
      <c r="F67" s="350">
        <f t="shared" si="19"/>
        <v>5055505</v>
      </c>
      <c r="G67" s="61">
        <v>5055505</v>
      </c>
      <c r="H67" s="61">
        <v>0</v>
      </c>
      <c r="I67" s="61">
        <v>0</v>
      </c>
      <c r="J67" s="350">
        <f t="shared" si="20"/>
        <v>0</v>
      </c>
      <c r="K67" s="61"/>
      <c r="L67" s="61">
        <v>0</v>
      </c>
      <c r="M67" s="61">
        <v>0</v>
      </c>
    </row>
    <row r="68" spans="1:13" ht="12.75">
      <c r="A68" s="58"/>
      <c r="B68" s="70">
        <v>75832</v>
      </c>
      <c r="C68" s="70"/>
      <c r="D68" s="68" t="s">
        <v>86</v>
      </c>
      <c r="E68" s="57">
        <f t="shared" si="18"/>
        <v>1378917</v>
      </c>
      <c r="F68" s="350">
        <f t="shared" si="19"/>
        <v>1378917</v>
      </c>
      <c r="G68" s="61">
        <f>G69</f>
        <v>1378917</v>
      </c>
      <c r="H68" s="61">
        <f>H69</f>
        <v>0</v>
      </c>
      <c r="I68" s="61">
        <f>I69</f>
        <v>0</v>
      </c>
      <c r="J68" s="350">
        <f t="shared" si="20"/>
        <v>0</v>
      </c>
      <c r="K68" s="61">
        <f>K69</f>
        <v>0</v>
      </c>
      <c r="L68" s="61">
        <f>L69</f>
        <v>0</v>
      </c>
      <c r="M68" s="61">
        <f>M69</f>
        <v>0</v>
      </c>
    </row>
    <row r="69" spans="1:13" ht="13.5" thickBot="1">
      <c r="A69" s="58"/>
      <c r="B69" s="70"/>
      <c r="C69" s="70">
        <v>2920</v>
      </c>
      <c r="D69" s="71" t="s">
        <v>84</v>
      </c>
      <c r="E69" s="57">
        <f t="shared" si="18"/>
        <v>1378917</v>
      </c>
      <c r="F69" s="350">
        <f t="shared" si="19"/>
        <v>1378917</v>
      </c>
      <c r="G69" s="61">
        <v>1378917</v>
      </c>
      <c r="H69" s="61">
        <v>0</v>
      </c>
      <c r="I69" s="61">
        <v>0</v>
      </c>
      <c r="J69" s="350">
        <f t="shared" si="20"/>
        <v>0</v>
      </c>
      <c r="K69" s="61"/>
      <c r="L69" s="61">
        <v>0</v>
      </c>
      <c r="M69" s="61">
        <v>0</v>
      </c>
    </row>
    <row r="70" spans="1:13" ht="14.25" thickBot="1" thickTop="1">
      <c r="A70" s="69">
        <v>801</v>
      </c>
      <c r="B70" s="69"/>
      <c r="C70" s="69"/>
      <c r="D70" s="65" t="s">
        <v>87</v>
      </c>
      <c r="E70" s="53">
        <f aca="true" t="shared" si="21" ref="E70:M70">SUM(E71+E73+E75+E78+E82+E84)</f>
        <v>140400</v>
      </c>
      <c r="F70" s="349">
        <f t="shared" si="21"/>
        <v>140400</v>
      </c>
      <c r="G70" s="53">
        <f t="shared" si="21"/>
        <v>140400</v>
      </c>
      <c r="H70" s="53">
        <f t="shared" si="21"/>
        <v>0</v>
      </c>
      <c r="I70" s="53">
        <f t="shared" si="21"/>
        <v>0</v>
      </c>
      <c r="J70" s="349">
        <f t="shared" si="21"/>
        <v>0</v>
      </c>
      <c r="K70" s="53">
        <f t="shared" si="21"/>
        <v>0</v>
      </c>
      <c r="L70" s="53">
        <f t="shared" si="21"/>
        <v>0</v>
      </c>
      <c r="M70" s="53">
        <f t="shared" si="21"/>
        <v>0</v>
      </c>
    </row>
    <row r="71" spans="1:13" ht="13.5" thickTop="1">
      <c r="A71" s="54"/>
      <c r="B71" s="54">
        <v>80102</v>
      </c>
      <c r="C71" s="54"/>
      <c r="D71" s="55" t="s">
        <v>88</v>
      </c>
      <c r="E71" s="61">
        <f>SUM(J71+F71)</f>
        <v>5000</v>
      </c>
      <c r="F71" s="351">
        <f>SUM(G71:I71)</f>
        <v>5000</v>
      </c>
      <c r="G71" s="57">
        <f>G72</f>
        <v>5000</v>
      </c>
      <c r="H71" s="57">
        <f>H72</f>
        <v>0</v>
      </c>
      <c r="I71" s="57">
        <f>I72</f>
        <v>0</v>
      </c>
      <c r="J71" s="350">
        <f>SUM(K71:M71)</f>
        <v>0</v>
      </c>
      <c r="K71" s="57">
        <f>K72</f>
        <v>0</v>
      </c>
      <c r="L71" s="57">
        <f>L72</f>
        <v>0</v>
      </c>
      <c r="M71" s="57">
        <f>M72</f>
        <v>0</v>
      </c>
    </row>
    <row r="72" spans="1:13" ht="51">
      <c r="A72" s="70"/>
      <c r="B72" s="70"/>
      <c r="C72" s="70" t="s">
        <v>65</v>
      </c>
      <c r="D72" s="68" t="s">
        <v>66</v>
      </c>
      <c r="E72" s="61">
        <f aca="true" t="shared" si="22" ref="E72:E85">SUM(J72+F72)</f>
        <v>5000</v>
      </c>
      <c r="F72" s="351">
        <f aca="true" t="shared" si="23" ref="F72:F85">SUM(G72:I72)</f>
        <v>5000</v>
      </c>
      <c r="G72" s="61">
        <v>5000</v>
      </c>
      <c r="H72" s="61">
        <v>0</v>
      </c>
      <c r="I72" s="61">
        <v>0</v>
      </c>
      <c r="J72" s="350">
        <f aca="true" t="shared" si="24" ref="J72:J85">SUM(K72:M72)</f>
        <v>0</v>
      </c>
      <c r="K72" s="61"/>
      <c r="L72" s="61">
        <v>0</v>
      </c>
      <c r="M72" s="61">
        <v>0</v>
      </c>
    </row>
    <row r="73" spans="1:13" ht="12.75">
      <c r="A73" s="70"/>
      <c r="B73" s="70">
        <v>80111</v>
      </c>
      <c r="C73" s="70"/>
      <c r="D73" s="71" t="s">
        <v>89</v>
      </c>
      <c r="E73" s="61">
        <f t="shared" si="22"/>
        <v>4000</v>
      </c>
      <c r="F73" s="351">
        <f t="shared" si="23"/>
        <v>4000</v>
      </c>
      <c r="G73" s="61">
        <f>G74</f>
        <v>4000</v>
      </c>
      <c r="H73" s="61">
        <f>H74</f>
        <v>0</v>
      </c>
      <c r="I73" s="61">
        <f>I74</f>
        <v>0</v>
      </c>
      <c r="J73" s="350">
        <f t="shared" si="24"/>
        <v>0</v>
      </c>
      <c r="K73" s="61">
        <f>K74</f>
        <v>0</v>
      </c>
      <c r="L73" s="61">
        <f>L74</f>
        <v>0</v>
      </c>
      <c r="M73" s="61">
        <f>M74</f>
        <v>0</v>
      </c>
    </row>
    <row r="74" spans="1:13" ht="51">
      <c r="A74" s="70"/>
      <c r="B74" s="70"/>
      <c r="C74" s="70" t="s">
        <v>65</v>
      </c>
      <c r="D74" s="68" t="s">
        <v>66</v>
      </c>
      <c r="E74" s="61">
        <f t="shared" si="22"/>
        <v>4000</v>
      </c>
      <c r="F74" s="351">
        <f t="shared" si="23"/>
        <v>4000</v>
      </c>
      <c r="G74" s="61">
        <v>4000</v>
      </c>
      <c r="H74" s="61">
        <v>0</v>
      </c>
      <c r="I74" s="61">
        <v>0</v>
      </c>
      <c r="J74" s="350">
        <f t="shared" si="24"/>
        <v>0</v>
      </c>
      <c r="K74" s="61"/>
      <c r="L74" s="61">
        <v>0</v>
      </c>
      <c r="M74" s="61">
        <v>0</v>
      </c>
    </row>
    <row r="75" spans="1:13" ht="12.75">
      <c r="A75" s="70"/>
      <c r="B75" s="70">
        <v>80120</v>
      </c>
      <c r="C75" s="70"/>
      <c r="D75" s="71" t="s">
        <v>90</v>
      </c>
      <c r="E75" s="61">
        <f t="shared" si="22"/>
        <v>20000</v>
      </c>
      <c r="F75" s="351">
        <f t="shared" si="23"/>
        <v>20000</v>
      </c>
      <c r="G75" s="61">
        <f>G76+G77</f>
        <v>20000</v>
      </c>
      <c r="H75" s="61">
        <f>H76+H77</f>
        <v>0</v>
      </c>
      <c r="I75" s="61">
        <f>I76+I77</f>
        <v>0</v>
      </c>
      <c r="J75" s="350">
        <f t="shared" si="24"/>
        <v>0</v>
      </c>
      <c r="K75" s="61">
        <f>K76+K77</f>
        <v>0</v>
      </c>
      <c r="L75" s="61">
        <f>L76+L77</f>
        <v>0</v>
      </c>
      <c r="M75" s="61">
        <f>M76+M77</f>
        <v>0</v>
      </c>
    </row>
    <row r="76" spans="1:13" ht="63" customHeight="1">
      <c r="A76" s="70"/>
      <c r="B76" s="70"/>
      <c r="C76" s="70" t="s">
        <v>65</v>
      </c>
      <c r="D76" s="68" t="s">
        <v>91</v>
      </c>
      <c r="E76" s="61">
        <f t="shared" si="22"/>
        <v>11000</v>
      </c>
      <c r="F76" s="351">
        <f t="shared" si="23"/>
        <v>11000</v>
      </c>
      <c r="G76" s="61">
        <v>11000</v>
      </c>
      <c r="H76" s="61">
        <v>0</v>
      </c>
      <c r="I76" s="61">
        <v>0</v>
      </c>
      <c r="J76" s="350">
        <f t="shared" si="24"/>
        <v>0</v>
      </c>
      <c r="K76" s="61"/>
      <c r="L76" s="61">
        <v>0</v>
      </c>
      <c r="M76" s="61">
        <v>0</v>
      </c>
    </row>
    <row r="77" spans="1:13" ht="12.75">
      <c r="A77" s="70"/>
      <c r="B77" s="70"/>
      <c r="C77" s="70" t="s">
        <v>67</v>
      </c>
      <c r="D77" s="71" t="s">
        <v>68</v>
      </c>
      <c r="E77" s="61">
        <f t="shared" si="22"/>
        <v>9000</v>
      </c>
      <c r="F77" s="351">
        <f t="shared" si="23"/>
        <v>9000</v>
      </c>
      <c r="G77" s="61">
        <v>9000</v>
      </c>
      <c r="H77" s="61">
        <v>0</v>
      </c>
      <c r="I77" s="61">
        <v>0</v>
      </c>
      <c r="J77" s="351">
        <f t="shared" si="24"/>
        <v>0</v>
      </c>
      <c r="K77" s="61"/>
      <c r="L77" s="61">
        <v>0</v>
      </c>
      <c r="M77" s="61">
        <v>0</v>
      </c>
    </row>
    <row r="78" spans="1:13" ht="12.75">
      <c r="A78" s="70"/>
      <c r="B78" s="70">
        <v>80130</v>
      </c>
      <c r="C78" s="70"/>
      <c r="D78" s="71" t="s">
        <v>92</v>
      </c>
      <c r="E78" s="61">
        <f>SUM(J78+F78)</f>
        <v>93000</v>
      </c>
      <c r="F78" s="351">
        <f>SUM(G78:I78)</f>
        <v>93000</v>
      </c>
      <c r="G78" s="61">
        <f>G80+G81+G79</f>
        <v>93000</v>
      </c>
      <c r="H78" s="61">
        <f>H80+H81+H79</f>
        <v>0</v>
      </c>
      <c r="I78" s="61">
        <f>I80+I81+I79</f>
        <v>0</v>
      </c>
      <c r="J78" s="350">
        <f t="shared" si="24"/>
        <v>0</v>
      </c>
      <c r="K78" s="61">
        <f>K80+K81</f>
        <v>0</v>
      </c>
      <c r="L78" s="61">
        <f>L80+L81</f>
        <v>0</v>
      </c>
      <c r="M78" s="61">
        <f>M80+M81</f>
        <v>0</v>
      </c>
    </row>
    <row r="79" spans="1:13" ht="51">
      <c r="A79" s="70"/>
      <c r="B79" s="70"/>
      <c r="C79" s="70" t="s">
        <v>65</v>
      </c>
      <c r="D79" s="68" t="s">
        <v>91</v>
      </c>
      <c r="E79" s="61">
        <f>SUM(J79+F79)</f>
        <v>47000</v>
      </c>
      <c r="F79" s="351">
        <f>SUM(G79:I79)</f>
        <v>47000</v>
      </c>
      <c r="G79" s="61">
        <v>47000</v>
      </c>
      <c r="H79" s="61">
        <v>0</v>
      </c>
      <c r="I79" s="61">
        <v>0</v>
      </c>
      <c r="J79" s="350">
        <f>SUM(K79:M79)</f>
        <v>0</v>
      </c>
      <c r="K79" s="61"/>
      <c r="L79" s="61">
        <v>0</v>
      </c>
      <c r="M79" s="61">
        <v>0</v>
      </c>
    </row>
    <row r="80" spans="1:13" ht="12.75">
      <c r="A80" s="70"/>
      <c r="B80" s="70"/>
      <c r="C80" s="70" t="s">
        <v>67</v>
      </c>
      <c r="D80" s="71" t="s">
        <v>93</v>
      </c>
      <c r="E80" s="61">
        <f t="shared" si="22"/>
        <v>28000</v>
      </c>
      <c r="F80" s="351">
        <f t="shared" si="23"/>
        <v>28000</v>
      </c>
      <c r="G80" s="61">
        <v>28000</v>
      </c>
      <c r="H80" s="61">
        <v>0</v>
      </c>
      <c r="I80" s="61">
        <v>0</v>
      </c>
      <c r="J80" s="350">
        <f t="shared" si="24"/>
        <v>0</v>
      </c>
      <c r="K80" s="61"/>
      <c r="L80" s="61">
        <v>0</v>
      </c>
      <c r="M80" s="61">
        <v>0</v>
      </c>
    </row>
    <row r="81" spans="1:13" ht="12.75">
      <c r="A81" s="70"/>
      <c r="B81" s="70"/>
      <c r="C81" s="70" t="s">
        <v>94</v>
      </c>
      <c r="D81" s="71" t="s">
        <v>95</v>
      </c>
      <c r="E81" s="61">
        <f t="shared" si="22"/>
        <v>18000</v>
      </c>
      <c r="F81" s="351">
        <f t="shared" si="23"/>
        <v>18000</v>
      </c>
      <c r="G81" s="61">
        <v>18000</v>
      </c>
      <c r="H81" s="61">
        <v>0</v>
      </c>
      <c r="I81" s="61">
        <v>0</v>
      </c>
      <c r="J81" s="350">
        <f t="shared" si="24"/>
        <v>0</v>
      </c>
      <c r="K81" s="61"/>
      <c r="L81" s="61">
        <v>0</v>
      </c>
      <c r="M81" s="61">
        <v>0</v>
      </c>
    </row>
    <row r="82" spans="1:13" ht="12.75">
      <c r="A82" s="70"/>
      <c r="B82" s="70">
        <v>80134</v>
      </c>
      <c r="C82" s="70"/>
      <c r="D82" s="71" t="s">
        <v>96</v>
      </c>
      <c r="E82" s="61">
        <f t="shared" si="22"/>
        <v>400</v>
      </c>
      <c r="F82" s="351">
        <f t="shared" si="23"/>
        <v>400</v>
      </c>
      <c r="G82" s="61">
        <f>G83</f>
        <v>400</v>
      </c>
      <c r="H82" s="61">
        <v>0</v>
      </c>
      <c r="I82" s="61">
        <f>I83</f>
        <v>0</v>
      </c>
      <c r="J82" s="350">
        <f t="shared" si="24"/>
        <v>0</v>
      </c>
      <c r="K82" s="61">
        <f>K83</f>
        <v>0</v>
      </c>
      <c r="L82" s="61">
        <v>0</v>
      </c>
      <c r="M82" s="61">
        <f>M83</f>
        <v>0</v>
      </c>
    </row>
    <row r="83" spans="1:13" ht="66.75" customHeight="1">
      <c r="A83" s="70"/>
      <c r="B83" s="70"/>
      <c r="C83" s="70" t="s">
        <v>65</v>
      </c>
      <c r="D83" s="68" t="s">
        <v>91</v>
      </c>
      <c r="E83" s="61">
        <f t="shared" si="22"/>
        <v>400</v>
      </c>
      <c r="F83" s="351">
        <f t="shared" si="23"/>
        <v>400</v>
      </c>
      <c r="G83" s="61">
        <v>400</v>
      </c>
      <c r="H83" s="61">
        <v>0</v>
      </c>
      <c r="I83" s="61">
        <v>0</v>
      </c>
      <c r="J83" s="351">
        <f t="shared" si="24"/>
        <v>0</v>
      </c>
      <c r="K83" s="61"/>
      <c r="L83" s="61">
        <v>0</v>
      </c>
      <c r="M83" s="61">
        <v>0</v>
      </c>
    </row>
    <row r="84" spans="1:13" ht="25.5">
      <c r="A84" s="76"/>
      <c r="B84" s="70">
        <v>80140</v>
      </c>
      <c r="C84" s="70"/>
      <c r="D84" s="77" t="s">
        <v>97</v>
      </c>
      <c r="E84" s="61">
        <f t="shared" si="22"/>
        <v>18000</v>
      </c>
      <c r="F84" s="351">
        <f t="shared" si="23"/>
        <v>18000</v>
      </c>
      <c r="G84" s="61">
        <f>G85</f>
        <v>18000</v>
      </c>
      <c r="H84" s="61">
        <f>H85</f>
        <v>0</v>
      </c>
      <c r="I84" s="61">
        <f>I85</f>
        <v>0</v>
      </c>
      <c r="J84" s="350">
        <f t="shared" si="24"/>
        <v>0</v>
      </c>
      <c r="K84" s="61">
        <f>K85</f>
        <v>0</v>
      </c>
      <c r="L84" s="61">
        <f>L85</f>
        <v>0</v>
      </c>
      <c r="M84" s="61">
        <f>M85</f>
        <v>0</v>
      </c>
    </row>
    <row r="85" spans="1:13" ht="13.5" thickBot="1">
      <c r="A85" s="59"/>
      <c r="B85" s="59"/>
      <c r="C85" s="59" t="s">
        <v>67</v>
      </c>
      <c r="D85" s="309" t="s">
        <v>68</v>
      </c>
      <c r="E85" s="113">
        <f t="shared" si="22"/>
        <v>18000</v>
      </c>
      <c r="F85" s="352">
        <f t="shared" si="23"/>
        <v>18000</v>
      </c>
      <c r="G85" s="113">
        <v>18000</v>
      </c>
      <c r="H85" s="113">
        <v>0</v>
      </c>
      <c r="I85" s="113">
        <v>0</v>
      </c>
      <c r="J85" s="352">
        <f t="shared" si="24"/>
        <v>0</v>
      </c>
      <c r="K85" s="113"/>
      <c r="L85" s="113">
        <v>0</v>
      </c>
      <c r="M85" s="113">
        <v>0</v>
      </c>
    </row>
    <row r="86" spans="1:13" ht="14.25" thickBot="1" thickTop="1">
      <c r="A86" s="51">
        <v>851</v>
      </c>
      <c r="B86" s="51"/>
      <c r="C86" s="51"/>
      <c r="D86" s="52" t="s">
        <v>13</v>
      </c>
      <c r="E86" s="78">
        <f>SUM(E87)</f>
        <v>1068000</v>
      </c>
      <c r="F86" s="353">
        <f aca="true" t="shared" si="25" ref="F86:M86">SUM(F87)</f>
        <v>1068000</v>
      </c>
      <c r="G86" s="78">
        <f t="shared" si="25"/>
        <v>0</v>
      </c>
      <c r="H86" s="78">
        <f t="shared" si="25"/>
        <v>1068000</v>
      </c>
      <c r="I86" s="78">
        <f t="shared" si="25"/>
        <v>0</v>
      </c>
      <c r="J86" s="353">
        <f t="shared" si="25"/>
        <v>0</v>
      </c>
      <c r="K86" s="78">
        <f t="shared" si="25"/>
        <v>0</v>
      </c>
      <c r="L86" s="78">
        <f t="shared" si="25"/>
        <v>0</v>
      </c>
      <c r="M86" s="78">
        <f t="shared" si="25"/>
        <v>0</v>
      </c>
    </row>
    <row r="87" spans="1:13" ht="39" thickTop="1">
      <c r="A87" s="54"/>
      <c r="B87" s="54">
        <v>85156</v>
      </c>
      <c r="C87" s="54"/>
      <c r="D87" s="56" t="s">
        <v>98</v>
      </c>
      <c r="E87" s="79">
        <f>SUM(J87+F87)</f>
        <v>1068000</v>
      </c>
      <c r="F87" s="354">
        <f>SUM(G87:I87)</f>
        <v>1068000</v>
      </c>
      <c r="G87" s="80">
        <f>G88</f>
        <v>0</v>
      </c>
      <c r="H87" s="80">
        <f>H88</f>
        <v>1068000</v>
      </c>
      <c r="I87" s="57">
        <f>I88</f>
        <v>0</v>
      </c>
      <c r="J87" s="358">
        <f>SUM(K87:M87)</f>
        <v>0</v>
      </c>
      <c r="K87" s="57">
        <f>K88</f>
        <v>0</v>
      </c>
      <c r="L87" s="57">
        <f>L88</f>
        <v>0</v>
      </c>
      <c r="M87" s="57">
        <f>M88</f>
        <v>0</v>
      </c>
    </row>
    <row r="88" spans="1:13" ht="44.25" customHeight="1">
      <c r="A88" s="70"/>
      <c r="B88" s="70"/>
      <c r="C88" s="70">
        <v>2110</v>
      </c>
      <c r="D88" s="68" t="s">
        <v>99</v>
      </c>
      <c r="E88" s="79">
        <f>SUM(E89:E90)</f>
        <v>1068000</v>
      </c>
      <c r="F88" s="354">
        <f aca="true" t="shared" si="26" ref="F88:M88">SUM(F89:F90)</f>
        <v>1068000</v>
      </c>
      <c r="G88" s="79">
        <f t="shared" si="26"/>
        <v>0</v>
      </c>
      <c r="H88" s="79">
        <f t="shared" si="26"/>
        <v>1068000</v>
      </c>
      <c r="I88" s="81">
        <f t="shared" si="26"/>
        <v>0</v>
      </c>
      <c r="J88" s="358">
        <f t="shared" si="26"/>
        <v>0</v>
      </c>
      <c r="K88" s="81">
        <f t="shared" si="26"/>
        <v>0</v>
      </c>
      <c r="L88" s="81">
        <f t="shared" si="26"/>
        <v>0</v>
      </c>
      <c r="M88" s="81">
        <f t="shared" si="26"/>
        <v>0</v>
      </c>
    </row>
    <row r="89" spans="1:13" ht="12.75">
      <c r="A89" s="70"/>
      <c r="B89" s="70"/>
      <c r="C89" s="70"/>
      <c r="D89" s="71" t="s">
        <v>100</v>
      </c>
      <c r="E89" s="79">
        <f>SUM(J89+F89)</f>
        <v>1054000</v>
      </c>
      <c r="F89" s="354">
        <f>SUM(G89:I89)</f>
        <v>1054000</v>
      </c>
      <c r="G89" s="79">
        <v>0</v>
      </c>
      <c r="H89" s="79">
        <v>1054000</v>
      </c>
      <c r="I89" s="61">
        <v>0</v>
      </c>
      <c r="J89" s="358">
        <f>SUM(K89:M89)</f>
        <v>0</v>
      </c>
      <c r="K89" s="61">
        <v>0</v>
      </c>
      <c r="L89" s="61"/>
      <c r="M89" s="61">
        <v>0</v>
      </c>
    </row>
    <row r="90" spans="1:13" ht="13.5" thickBot="1">
      <c r="A90" s="58"/>
      <c r="B90" s="58"/>
      <c r="C90" s="58"/>
      <c r="D90" s="75" t="s">
        <v>101</v>
      </c>
      <c r="E90" s="82">
        <f>SUM(J90+F90)</f>
        <v>14000</v>
      </c>
      <c r="F90" s="355">
        <f>SUM(G90:I90)</f>
        <v>14000</v>
      </c>
      <c r="G90" s="83">
        <v>0</v>
      </c>
      <c r="H90" s="83">
        <v>14000</v>
      </c>
      <c r="I90" s="72">
        <v>0</v>
      </c>
      <c r="J90" s="359">
        <f>SUM(K90:M90)</f>
        <v>0</v>
      </c>
      <c r="K90" s="72">
        <v>0</v>
      </c>
      <c r="L90" s="72"/>
      <c r="M90" s="72">
        <v>0</v>
      </c>
    </row>
    <row r="91" spans="1:13" ht="14.25" thickBot="1" thickTop="1">
      <c r="A91" s="69">
        <v>852</v>
      </c>
      <c r="B91" s="69"/>
      <c r="C91" s="69"/>
      <c r="D91" s="65" t="s">
        <v>102</v>
      </c>
      <c r="E91" s="53">
        <f aca="true" t="shared" si="27" ref="E91:M91">SUM(E92+E96+E99)</f>
        <v>2784500</v>
      </c>
      <c r="F91" s="349">
        <f t="shared" si="27"/>
        <v>2784500</v>
      </c>
      <c r="G91" s="53">
        <f t="shared" si="27"/>
        <v>2777500</v>
      </c>
      <c r="H91" s="53">
        <f t="shared" si="27"/>
        <v>7000</v>
      </c>
      <c r="I91" s="53">
        <f t="shared" si="27"/>
        <v>0</v>
      </c>
      <c r="J91" s="349">
        <f t="shared" si="27"/>
        <v>0</v>
      </c>
      <c r="K91" s="53">
        <f t="shared" si="27"/>
        <v>0</v>
      </c>
      <c r="L91" s="53">
        <f t="shared" si="27"/>
        <v>0</v>
      </c>
      <c r="M91" s="53">
        <f t="shared" si="27"/>
        <v>0</v>
      </c>
    </row>
    <row r="92" spans="1:13" ht="13.5" thickTop="1">
      <c r="A92" s="54"/>
      <c r="B92" s="54">
        <v>85201</v>
      </c>
      <c r="C92" s="54"/>
      <c r="D92" s="55" t="s">
        <v>103</v>
      </c>
      <c r="E92" s="61">
        <f>SUM(J92+F92)</f>
        <v>302500</v>
      </c>
      <c r="F92" s="350">
        <f>SUM(G92:I92)</f>
        <v>302500</v>
      </c>
      <c r="G92" s="57">
        <f>SUM(G93:G95)</f>
        <v>302500</v>
      </c>
      <c r="H92" s="57">
        <f>SUM(H93:H95)</f>
        <v>0</v>
      </c>
      <c r="I92" s="57">
        <f>SUM(I93:I95)</f>
        <v>0</v>
      </c>
      <c r="J92" s="350">
        <f>SUM(K92:M92)</f>
        <v>0</v>
      </c>
      <c r="K92" s="57">
        <f>SUM(K93:K95)</f>
        <v>0</v>
      </c>
      <c r="L92" s="57">
        <f>SUM(L93:L95)</f>
        <v>0</v>
      </c>
      <c r="M92" s="57">
        <f>SUM(M93:M95)</f>
        <v>0</v>
      </c>
    </row>
    <row r="93" spans="1:13" ht="12.75">
      <c r="A93" s="70"/>
      <c r="B93" s="70"/>
      <c r="C93" s="70" t="s">
        <v>67</v>
      </c>
      <c r="D93" s="71" t="s">
        <v>93</v>
      </c>
      <c r="E93" s="61">
        <f aca="true" t="shared" si="28" ref="E93:E98">SUM(J93+F93)</f>
        <v>2000</v>
      </c>
      <c r="F93" s="350">
        <f aca="true" t="shared" si="29" ref="F93:F107">SUM(G93:I93)</f>
        <v>2000</v>
      </c>
      <c r="G93" s="61">
        <v>2000</v>
      </c>
      <c r="H93" s="61">
        <v>0</v>
      </c>
      <c r="I93" s="61">
        <v>0</v>
      </c>
      <c r="J93" s="350">
        <f aca="true" t="shared" si="30" ref="J93:J107">SUM(K93:M93)</f>
        <v>0</v>
      </c>
      <c r="K93" s="61">
        <v>0</v>
      </c>
      <c r="L93" s="61">
        <v>0</v>
      </c>
      <c r="M93" s="61">
        <v>0</v>
      </c>
    </row>
    <row r="94" spans="1:13" ht="12.75">
      <c r="A94" s="70"/>
      <c r="B94" s="70"/>
      <c r="C94" s="67" t="s">
        <v>104</v>
      </c>
      <c r="D94" s="60" t="s">
        <v>105</v>
      </c>
      <c r="E94" s="61">
        <f>SUM(J94+F94)</f>
        <v>500</v>
      </c>
      <c r="F94" s="350">
        <f>SUM(G94:I94)</f>
        <v>500</v>
      </c>
      <c r="G94" s="61">
        <v>500</v>
      </c>
      <c r="H94" s="61">
        <v>0</v>
      </c>
      <c r="I94" s="61">
        <v>0</v>
      </c>
      <c r="J94" s="350">
        <f>SUM(K94:M94)</f>
        <v>0</v>
      </c>
      <c r="K94" s="61">
        <v>0</v>
      </c>
      <c r="L94" s="61">
        <v>0</v>
      </c>
      <c r="M94" s="61">
        <v>0</v>
      </c>
    </row>
    <row r="95" spans="1:13" ht="32.25" customHeight="1">
      <c r="A95" s="70"/>
      <c r="B95" s="70"/>
      <c r="C95" s="70">
        <v>2320</v>
      </c>
      <c r="D95" s="68" t="s">
        <v>106</v>
      </c>
      <c r="E95" s="61">
        <f t="shared" si="28"/>
        <v>300000</v>
      </c>
      <c r="F95" s="350">
        <f t="shared" si="29"/>
        <v>300000</v>
      </c>
      <c r="G95" s="61">
        <f>250000+50000</f>
        <v>300000</v>
      </c>
      <c r="H95" s="61">
        <v>0</v>
      </c>
      <c r="I95" s="61">
        <v>0</v>
      </c>
      <c r="J95" s="350">
        <f t="shared" si="30"/>
        <v>0</v>
      </c>
      <c r="K95" s="61"/>
      <c r="L95" s="61">
        <v>0</v>
      </c>
      <c r="M95" s="61">
        <v>0</v>
      </c>
    </row>
    <row r="96" spans="1:13" ht="12.75">
      <c r="A96" s="70"/>
      <c r="B96" s="70">
        <v>85202</v>
      </c>
      <c r="C96" s="70"/>
      <c r="D96" s="71" t="s">
        <v>107</v>
      </c>
      <c r="E96" s="61">
        <f t="shared" si="28"/>
        <v>2475000</v>
      </c>
      <c r="F96" s="350">
        <f>SUM(G96:I96)</f>
        <v>2475000</v>
      </c>
      <c r="G96" s="61">
        <f>SUM(G97:G98)</f>
        <v>2475000</v>
      </c>
      <c r="H96" s="61">
        <f>SUM(H97:H98)</f>
        <v>0</v>
      </c>
      <c r="I96" s="61">
        <f>SUM(I97:I98)</f>
        <v>0</v>
      </c>
      <c r="J96" s="350">
        <f t="shared" si="30"/>
        <v>0</v>
      </c>
      <c r="K96" s="61">
        <f>SUM(K97:K98)</f>
        <v>0</v>
      </c>
      <c r="L96" s="61">
        <f>SUM(L97:L98)</f>
        <v>0</v>
      </c>
      <c r="M96" s="61">
        <f>SUM(M97:M98)</f>
        <v>0</v>
      </c>
    </row>
    <row r="97" spans="1:13" ht="12.75">
      <c r="A97" s="70"/>
      <c r="B97" s="70"/>
      <c r="C97" s="70" t="s">
        <v>67</v>
      </c>
      <c r="D97" s="71" t="s">
        <v>68</v>
      </c>
      <c r="E97" s="61">
        <f t="shared" si="28"/>
        <v>1500000</v>
      </c>
      <c r="F97" s="350">
        <f t="shared" si="29"/>
        <v>1500000</v>
      </c>
      <c r="G97" s="61">
        <v>1500000</v>
      </c>
      <c r="H97" s="61">
        <v>0</v>
      </c>
      <c r="I97" s="61">
        <v>0</v>
      </c>
      <c r="J97" s="350">
        <f t="shared" si="30"/>
        <v>0</v>
      </c>
      <c r="K97" s="61"/>
      <c r="L97" s="61">
        <v>0</v>
      </c>
      <c r="M97" s="61">
        <v>0</v>
      </c>
    </row>
    <row r="98" spans="1:13" ht="25.5">
      <c r="A98" s="70"/>
      <c r="B98" s="70"/>
      <c r="C98" s="70">
        <v>2130</v>
      </c>
      <c r="D98" s="68" t="s">
        <v>108</v>
      </c>
      <c r="E98" s="61">
        <f t="shared" si="28"/>
        <v>975000</v>
      </c>
      <c r="F98" s="350">
        <f t="shared" si="29"/>
        <v>975000</v>
      </c>
      <c r="G98" s="61">
        <v>975000</v>
      </c>
      <c r="H98" s="61">
        <v>0</v>
      </c>
      <c r="I98" s="61">
        <v>0</v>
      </c>
      <c r="J98" s="350">
        <f t="shared" si="30"/>
        <v>0</v>
      </c>
      <c r="K98" s="61"/>
      <c r="L98" s="61">
        <v>0</v>
      </c>
      <c r="M98" s="61">
        <v>0</v>
      </c>
    </row>
    <row r="99" spans="1:13" ht="12.75">
      <c r="A99" s="54"/>
      <c r="B99" s="54">
        <v>85295</v>
      </c>
      <c r="C99" s="54"/>
      <c r="D99" s="56" t="s">
        <v>162</v>
      </c>
      <c r="E99" s="57">
        <f>SUM(J99+F99)</f>
        <v>7000</v>
      </c>
      <c r="F99" s="350">
        <f>SUM(G99:I99)</f>
        <v>7000</v>
      </c>
      <c r="G99" s="57">
        <f>SUM(G100:G100)</f>
        <v>0</v>
      </c>
      <c r="H99" s="57">
        <f>SUM(H100:H100)</f>
        <v>7000</v>
      </c>
      <c r="I99" s="57">
        <f>SUM(I100:I100)</f>
        <v>0</v>
      </c>
      <c r="J99" s="350">
        <f>SUM(K99:M99)</f>
        <v>0</v>
      </c>
      <c r="K99" s="57">
        <f>SUM(K100:K100)</f>
        <v>0</v>
      </c>
      <c r="L99" s="57">
        <f>SUM(L100:L100)</f>
        <v>0</v>
      </c>
      <c r="M99" s="57">
        <f>SUM(M100:M100)</f>
        <v>0</v>
      </c>
    </row>
    <row r="100" spans="1:13" ht="51.75" customHeight="1" thickBot="1">
      <c r="A100" s="59"/>
      <c r="B100" s="59"/>
      <c r="C100" s="59">
        <v>2110</v>
      </c>
      <c r="D100" s="309" t="s">
        <v>47</v>
      </c>
      <c r="E100" s="113">
        <f>SUM(J100+F100)</f>
        <v>7000</v>
      </c>
      <c r="F100" s="352">
        <f>SUM(G100:I100)</f>
        <v>7000</v>
      </c>
      <c r="G100" s="113">
        <v>0</v>
      </c>
      <c r="H100" s="113">
        <v>7000</v>
      </c>
      <c r="I100" s="113">
        <v>0</v>
      </c>
      <c r="J100" s="352">
        <f>SUM(K100:M100)</f>
        <v>0</v>
      </c>
      <c r="K100" s="113">
        <v>0</v>
      </c>
      <c r="L100" s="113">
        <v>0</v>
      </c>
      <c r="M100" s="113">
        <v>0</v>
      </c>
    </row>
    <row r="101" spans="1:13" ht="27" thickBot="1" thickTop="1">
      <c r="A101" s="69">
        <v>853</v>
      </c>
      <c r="B101" s="84"/>
      <c r="C101" s="84"/>
      <c r="D101" s="74" t="s">
        <v>18</v>
      </c>
      <c r="E101" s="85">
        <f>G101+H101+I101</f>
        <v>973250</v>
      </c>
      <c r="F101" s="356">
        <f t="shared" si="29"/>
        <v>973250</v>
      </c>
      <c r="G101" s="85">
        <f>G102+G104+G106+G108</f>
        <v>924250</v>
      </c>
      <c r="H101" s="85">
        <f>H102+H104+H106+H108</f>
        <v>49000</v>
      </c>
      <c r="I101" s="85">
        <f>I102+I104+I106+I108</f>
        <v>0</v>
      </c>
      <c r="J101" s="356">
        <f>J102+J104+J106</f>
        <v>0</v>
      </c>
      <c r="K101" s="85">
        <f>K102</f>
        <v>0</v>
      </c>
      <c r="L101" s="85">
        <f>L102</f>
        <v>0</v>
      </c>
      <c r="M101" s="85">
        <f>M102</f>
        <v>0</v>
      </c>
    </row>
    <row r="102" spans="1:13" ht="18.75" customHeight="1" thickTop="1">
      <c r="A102" s="54"/>
      <c r="B102" s="54">
        <v>85321</v>
      </c>
      <c r="C102" s="54"/>
      <c r="D102" s="56" t="s">
        <v>109</v>
      </c>
      <c r="E102" s="57">
        <f>G102+H102+I102</f>
        <v>49000</v>
      </c>
      <c r="F102" s="350">
        <f t="shared" si="29"/>
        <v>49000</v>
      </c>
      <c r="G102" s="57">
        <v>0</v>
      </c>
      <c r="H102" s="57">
        <f>H103</f>
        <v>49000</v>
      </c>
      <c r="I102" s="57">
        <f>I103</f>
        <v>0</v>
      </c>
      <c r="J102" s="350">
        <f t="shared" si="30"/>
        <v>0</v>
      </c>
      <c r="K102" s="57">
        <v>0</v>
      </c>
      <c r="L102" s="57">
        <f>L103</f>
        <v>0</v>
      </c>
      <c r="M102" s="57">
        <f>M103</f>
        <v>0</v>
      </c>
    </row>
    <row r="103" spans="1:13" ht="52.5" customHeight="1">
      <c r="A103" s="70"/>
      <c r="B103" s="70"/>
      <c r="C103" s="70">
        <v>2110</v>
      </c>
      <c r="D103" s="68" t="s">
        <v>47</v>
      </c>
      <c r="E103" s="61">
        <f>G103+H103+I103</f>
        <v>49000</v>
      </c>
      <c r="F103" s="351">
        <f t="shared" si="29"/>
        <v>49000</v>
      </c>
      <c r="G103" s="61">
        <v>0</v>
      </c>
      <c r="H103" s="61">
        <v>49000</v>
      </c>
      <c r="I103" s="61">
        <v>0</v>
      </c>
      <c r="J103" s="351">
        <f t="shared" si="30"/>
        <v>0</v>
      </c>
      <c r="K103" s="61">
        <v>0</v>
      </c>
      <c r="L103" s="61"/>
      <c r="M103" s="61">
        <v>0</v>
      </c>
    </row>
    <row r="104" spans="1:13" ht="25.5">
      <c r="A104" s="54"/>
      <c r="B104" s="54">
        <v>85324</v>
      </c>
      <c r="C104" s="54"/>
      <c r="D104" s="56" t="s">
        <v>110</v>
      </c>
      <c r="E104" s="57">
        <f>G104+H104+I104</f>
        <v>20000</v>
      </c>
      <c r="F104" s="350">
        <f t="shared" si="29"/>
        <v>20000</v>
      </c>
      <c r="G104" s="57">
        <f>SUM(G105)</f>
        <v>20000</v>
      </c>
      <c r="H104" s="57">
        <f>SUM(H105)</f>
        <v>0</v>
      </c>
      <c r="I104" s="57">
        <f>SUM(I105)</f>
        <v>0</v>
      </c>
      <c r="J104" s="350">
        <f t="shared" si="30"/>
        <v>0</v>
      </c>
      <c r="K104" s="57">
        <v>0</v>
      </c>
      <c r="L104" s="57">
        <f>L107</f>
        <v>0</v>
      </c>
      <c r="M104" s="57">
        <f>M107</f>
        <v>0</v>
      </c>
    </row>
    <row r="105" spans="1:13" ht="12.75">
      <c r="A105" s="70"/>
      <c r="B105" s="70"/>
      <c r="C105" s="70" t="s">
        <v>94</v>
      </c>
      <c r="D105" s="71" t="s">
        <v>105</v>
      </c>
      <c r="E105" s="61">
        <f>SUM(J105+F105)</f>
        <v>20000</v>
      </c>
      <c r="F105" s="351">
        <f t="shared" si="29"/>
        <v>20000</v>
      </c>
      <c r="G105" s="61">
        <v>20000</v>
      </c>
      <c r="H105" s="61">
        <v>0</v>
      </c>
      <c r="I105" s="61">
        <v>0</v>
      </c>
      <c r="J105" s="351"/>
      <c r="K105" s="61"/>
      <c r="L105" s="61">
        <v>0</v>
      </c>
      <c r="M105" s="61">
        <v>0</v>
      </c>
    </row>
    <row r="106" spans="1:13" ht="12.75">
      <c r="A106" s="54"/>
      <c r="B106" s="54">
        <v>85333</v>
      </c>
      <c r="C106" s="54"/>
      <c r="D106" s="56" t="s">
        <v>111</v>
      </c>
      <c r="E106" s="57">
        <f>SUM(J106+F106)</f>
        <v>412800</v>
      </c>
      <c r="F106" s="350">
        <f>SUM(G106:I106)</f>
        <v>412800</v>
      </c>
      <c r="G106" s="57">
        <f>SUM(G107)</f>
        <v>412800</v>
      </c>
      <c r="H106" s="57">
        <f>SUM(H107)</f>
        <v>0</v>
      </c>
      <c r="I106" s="57">
        <f>SUM(I107)</f>
        <v>0</v>
      </c>
      <c r="J106" s="350"/>
      <c r="K106" s="57"/>
      <c r="L106" s="57"/>
      <c r="M106" s="57"/>
    </row>
    <row r="107" spans="1:13" ht="51">
      <c r="A107" s="70"/>
      <c r="B107" s="70"/>
      <c r="C107" s="67" t="s">
        <v>112</v>
      </c>
      <c r="D107" s="68" t="s">
        <v>113</v>
      </c>
      <c r="E107" s="61">
        <f>G107+H107+I107</f>
        <v>412800</v>
      </c>
      <c r="F107" s="351">
        <f t="shared" si="29"/>
        <v>412800</v>
      </c>
      <c r="G107" s="61">
        <v>412800</v>
      </c>
      <c r="H107" s="61">
        <v>0</v>
      </c>
      <c r="I107" s="61">
        <v>0</v>
      </c>
      <c r="J107" s="351">
        <f t="shared" si="30"/>
        <v>0</v>
      </c>
      <c r="K107" s="61">
        <v>0</v>
      </c>
      <c r="L107" s="61"/>
      <c r="M107" s="61">
        <v>0</v>
      </c>
    </row>
    <row r="108" spans="1:13" ht="12.75">
      <c r="A108" s="54"/>
      <c r="B108" s="54">
        <v>85395</v>
      </c>
      <c r="C108" s="54"/>
      <c r="D108" s="56" t="s">
        <v>162</v>
      </c>
      <c r="E108" s="57">
        <f>SUM(J108+F108)</f>
        <v>491450</v>
      </c>
      <c r="F108" s="350">
        <f>SUM(G108:I108)</f>
        <v>491450</v>
      </c>
      <c r="G108" s="57">
        <f>SUM(G109:G110)</f>
        <v>491450</v>
      </c>
      <c r="H108" s="57">
        <f>SUM(H109:H110)</f>
        <v>0</v>
      </c>
      <c r="I108" s="57">
        <f>SUM(I109:I110)</f>
        <v>0</v>
      </c>
      <c r="J108" s="350"/>
      <c r="K108" s="57"/>
      <c r="L108" s="57"/>
      <c r="M108" s="57"/>
    </row>
    <row r="109" spans="1:13" ht="25.5">
      <c r="A109" s="54"/>
      <c r="B109" s="54"/>
      <c r="C109" s="410" t="s">
        <v>294</v>
      </c>
      <c r="D109" s="448" t="s">
        <v>295</v>
      </c>
      <c r="E109" s="61">
        <f>G109+H109+I109</f>
        <v>430750</v>
      </c>
      <c r="F109" s="350">
        <f>SUM(G109:I109)</f>
        <v>430750</v>
      </c>
      <c r="G109" s="57">
        <f>141621+86787+202342</f>
        <v>430750</v>
      </c>
      <c r="H109" s="57"/>
      <c r="I109" s="57"/>
      <c r="J109" s="350"/>
      <c r="K109" s="57"/>
      <c r="L109" s="57"/>
      <c r="M109" s="57"/>
    </row>
    <row r="110" spans="1:13" ht="26.25" thickBot="1">
      <c r="A110" s="70"/>
      <c r="B110" s="70"/>
      <c r="C110" s="410" t="s">
        <v>296</v>
      </c>
      <c r="D110" s="448" t="s">
        <v>295</v>
      </c>
      <c r="E110" s="61">
        <f>G110+H110+I110</f>
        <v>60700</v>
      </c>
      <c r="F110" s="351">
        <f>SUM(G110:I110)</f>
        <v>60700</v>
      </c>
      <c r="G110" s="61">
        <f>24992+35708</f>
        <v>60700</v>
      </c>
      <c r="H110" s="61">
        <v>0</v>
      </c>
      <c r="I110" s="61">
        <v>0</v>
      </c>
      <c r="J110" s="351">
        <f>SUM(K110:M110)</f>
        <v>0</v>
      </c>
      <c r="K110" s="61">
        <v>0</v>
      </c>
      <c r="L110" s="61"/>
      <c r="M110" s="61">
        <v>0</v>
      </c>
    </row>
    <row r="111" spans="1:13" ht="14.25" thickBot="1" thickTop="1">
      <c r="A111" s="69">
        <v>854</v>
      </c>
      <c r="B111" s="69"/>
      <c r="C111" s="69"/>
      <c r="D111" s="65" t="s">
        <v>14</v>
      </c>
      <c r="E111" s="53">
        <f>SUM(E112+E117)</f>
        <v>583500</v>
      </c>
      <c r="F111" s="349">
        <f aca="true" t="shared" si="31" ref="F111:M111">SUM(F112+F117)</f>
        <v>583500</v>
      </c>
      <c r="G111" s="53">
        <f t="shared" si="31"/>
        <v>583500</v>
      </c>
      <c r="H111" s="53">
        <f t="shared" si="31"/>
        <v>0</v>
      </c>
      <c r="I111" s="53">
        <f t="shared" si="31"/>
        <v>0</v>
      </c>
      <c r="J111" s="349">
        <f t="shared" si="31"/>
        <v>0</v>
      </c>
      <c r="K111" s="53">
        <f t="shared" si="31"/>
        <v>0</v>
      </c>
      <c r="L111" s="53">
        <f t="shared" si="31"/>
        <v>0</v>
      </c>
      <c r="M111" s="53">
        <f t="shared" si="31"/>
        <v>0</v>
      </c>
    </row>
    <row r="112" spans="1:13" ht="13.5" thickTop="1">
      <c r="A112" s="86"/>
      <c r="B112" s="86">
        <v>85403</v>
      </c>
      <c r="C112" s="86"/>
      <c r="D112" s="87" t="s">
        <v>114</v>
      </c>
      <c r="E112" s="88">
        <f aca="true" t="shared" si="32" ref="E112:E119">SUM(J112+F112)</f>
        <v>118500</v>
      </c>
      <c r="F112" s="357">
        <f aca="true" t="shared" si="33" ref="F112:F119">SUM(G112:I112)</f>
        <v>118500</v>
      </c>
      <c r="G112" s="88">
        <f>G113+G114+G116+G115</f>
        <v>118500</v>
      </c>
      <c r="H112" s="88">
        <f>H113+H114+H116+H115</f>
        <v>0</v>
      </c>
      <c r="I112" s="88">
        <f>I113+I114+I116+I115</f>
        <v>0</v>
      </c>
      <c r="J112" s="357">
        <f aca="true" t="shared" si="34" ref="J112:J119">SUM(K112:M112)</f>
        <v>0</v>
      </c>
      <c r="K112" s="88">
        <f>SUM(K113:K116)</f>
        <v>0</v>
      </c>
      <c r="L112" s="88">
        <f>SUM(L113:L116)</f>
        <v>0</v>
      </c>
      <c r="M112" s="88">
        <f>SUM(M113:M116)</f>
        <v>0</v>
      </c>
    </row>
    <row r="113" spans="1:13" ht="51">
      <c r="A113" s="70"/>
      <c r="B113" s="70"/>
      <c r="C113" s="70" t="s">
        <v>65</v>
      </c>
      <c r="D113" s="68" t="s">
        <v>91</v>
      </c>
      <c r="E113" s="57">
        <f t="shared" si="32"/>
        <v>5000</v>
      </c>
      <c r="F113" s="350">
        <f t="shared" si="33"/>
        <v>5000</v>
      </c>
      <c r="G113" s="61">
        <v>5000</v>
      </c>
      <c r="H113" s="61">
        <v>0</v>
      </c>
      <c r="I113" s="61">
        <v>0</v>
      </c>
      <c r="J113" s="351">
        <f t="shared" si="34"/>
        <v>0</v>
      </c>
      <c r="K113" s="61">
        <v>0</v>
      </c>
      <c r="L113" s="61">
        <v>0</v>
      </c>
      <c r="M113" s="61">
        <v>0</v>
      </c>
    </row>
    <row r="114" spans="1:13" ht="12.75">
      <c r="A114" s="70"/>
      <c r="B114" s="70"/>
      <c r="C114" s="70" t="s">
        <v>67</v>
      </c>
      <c r="D114" s="71" t="s">
        <v>68</v>
      </c>
      <c r="E114" s="57">
        <f t="shared" si="32"/>
        <v>112000</v>
      </c>
      <c r="F114" s="350">
        <f t="shared" si="33"/>
        <v>112000</v>
      </c>
      <c r="G114" s="61">
        <v>112000</v>
      </c>
      <c r="H114" s="61">
        <v>0</v>
      </c>
      <c r="I114" s="61">
        <v>0</v>
      </c>
      <c r="J114" s="351">
        <f t="shared" si="34"/>
        <v>0</v>
      </c>
      <c r="K114" s="61">
        <v>0</v>
      </c>
      <c r="L114" s="61">
        <v>0</v>
      </c>
      <c r="M114" s="61">
        <v>0</v>
      </c>
    </row>
    <row r="115" spans="1:13" ht="12.75">
      <c r="A115" s="70"/>
      <c r="B115" s="70"/>
      <c r="C115" s="67" t="s">
        <v>292</v>
      </c>
      <c r="D115" s="71" t="s">
        <v>70</v>
      </c>
      <c r="E115" s="57">
        <f t="shared" si="32"/>
        <v>500</v>
      </c>
      <c r="F115" s="350">
        <f t="shared" si="33"/>
        <v>500</v>
      </c>
      <c r="G115" s="61">
        <v>500</v>
      </c>
      <c r="H115" s="61">
        <v>0</v>
      </c>
      <c r="I115" s="61">
        <v>0</v>
      </c>
      <c r="J115" s="351">
        <f t="shared" si="34"/>
        <v>0</v>
      </c>
      <c r="K115" s="61">
        <v>0</v>
      </c>
      <c r="L115" s="61">
        <v>0</v>
      </c>
      <c r="M115" s="61">
        <v>0</v>
      </c>
    </row>
    <row r="116" spans="1:13" ht="12.75">
      <c r="A116" s="70"/>
      <c r="B116" s="70"/>
      <c r="C116" s="70" t="s">
        <v>94</v>
      </c>
      <c r="D116" s="71" t="s">
        <v>105</v>
      </c>
      <c r="E116" s="57">
        <f t="shared" si="32"/>
        <v>1000</v>
      </c>
      <c r="F116" s="350">
        <f t="shared" si="33"/>
        <v>1000</v>
      </c>
      <c r="G116" s="61">
        <v>1000</v>
      </c>
      <c r="H116" s="61">
        <v>0</v>
      </c>
      <c r="I116" s="61">
        <v>0</v>
      </c>
      <c r="J116" s="351">
        <f t="shared" si="34"/>
        <v>0</v>
      </c>
      <c r="K116" s="61">
        <v>0</v>
      </c>
      <c r="L116" s="61">
        <v>0</v>
      </c>
      <c r="M116" s="61">
        <v>0</v>
      </c>
    </row>
    <row r="117" spans="1:13" ht="12.75">
      <c r="A117" s="70"/>
      <c r="B117" s="70">
        <v>85410</v>
      </c>
      <c r="C117" s="70"/>
      <c r="D117" s="71" t="s">
        <v>115</v>
      </c>
      <c r="E117" s="57">
        <f t="shared" si="32"/>
        <v>465000</v>
      </c>
      <c r="F117" s="350">
        <f t="shared" si="33"/>
        <v>465000</v>
      </c>
      <c r="G117" s="61">
        <f>G119+G118</f>
        <v>465000</v>
      </c>
      <c r="H117" s="61">
        <f>H119+H118</f>
        <v>0</v>
      </c>
      <c r="I117" s="61">
        <f>I119+I118</f>
        <v>0</v>
      </c>
      <c r="J117" s="351">
        <f t="shared" si="34"/>
        <v>0</v>
      </c>
      <c r="K117" s="61">
        <f>K119</f>
        <v>0</v>
      </c>
      <c r="L117" s="61">
        <f>L119</f>
        <v>0</v>
      </c>
      <c r="M117" s="61">
        <f>M119</f>
        <v>0</v>
      </c>
    </row>
    <row r="118" spans="1:13" ht="51">
      <c r="A118" s="70"/>
      <c r="B118" s="70"/>
      <c r="C118" s="70" t="s">
        <v>65</v>
      </c>
      <c r="D118" s="68" t="s">
        <v>91</v>
      </c>
      <c r="E118" s="57">
        <f>SUM(J118+F118)</f>
        <v>25000</v>
      </c>
      <c r="F118" s="350">
        <f>SUM(G118:I118)</f>
        <v>25000</v>
      </c>
      <c r="G118" s="61">
        <v>25000</v>
      </c>
      <c r="H118" s="61">
        <v>0</v>
      </c>
      <c r="I118" s="61">
        <v>0</v>
      </c>
      <c r="J118" s="351">
        <f t="shared" si="34"/>
        <v>0</v>
      </c>
      <c r="K118" s="61">
        <v>0</v>
      </c>
      <c r="L118" s="61">
        <v>0</v>
      </c>
      <c r="M118" s="61">
        <v>0</v>
      </c>
    </row>
    <row r="119" spans="1:13" ht="13.5" thickBot="1">
      <c r="A119" s="70"/>
      <c r="B119" s="70"/>
      <c r="C119" s="70" t="s">
        <v>67</v>
      </c>
      <c r="D119" s="71" t="s">
        <v>116</v>
      </c>
      <c r="E119" s="57">
        <f t="shared" si="32"/>
        <v>440000</v>
      </c>
      <c r="F119" s="350">
        <f t="shared" si="33"/>
        <v>440000</v>
      </c>
      <c r="G119" s="61">
        <v>440000</v>
      </c>
      <c r="H119" s="61">
        <v>0</v>
      </c>
      <c r="I119" s="61">
        <v>0</v>
      </c>
      <c r="J119" s="351">
        <f t="shared" si="34"/>
        <v>0</v>
      </c>
      <c r="K119" s="61">
        <v>0</v>
      </c>
      <c r="L119" s="61">
        <v>0</v>
      </c>
      <c r="M119" s="61">
        <v>0</v>
      </c>
    </row>
    <row r="120" spans="1:13" ht="14.25" thickBot="1" thickTop="1">
      <c r="A120" s="524" t="s">
        <v>15</v>
      </c>
      <c r="B120" s="525"/>
      <c r="C120" s="525"/>
      <c r="D120" s="526"/>
      <c r="E120" s="89">
        <f>E15+E28+E32+E40+E52+E56+E63+E70+E86+E91+E101+E111+E18+E21+E25</f>
        <v>32837287</v>
      </c>
      <c r="F120" s="415">
        <f aca="true" t="shared" si="35" ref="F120:M120">F15+F28+F32+F40+F52+F56+F63+F70+F86+F91+F101+F111+F18+F21+F25</f>
        <v>32102287</v>
      </c>
      <c r="G120" s="89">
        <f t="shared" si="35"/>
        <v>27679987</v>
      </c>
      <c r="H120" s="89">
        <f t="shared" si="35"/>
        <v>4421300</v>
      </c>
      <c r="I120" s="89">
        <f t="shared" si="35"/>
        <v>1000</v>
      </c>
      <c r="J120" s="415">
        <f t="shared" si="35"/>
        <v>735000</v>
      </c>
      <c r="K120" s="89">
        <f t="shared" si="35"/>
        <v>700000</v>
      </c>
      <c r="L120" s="89">
        <f t="shared" si="35"/>
        <v>35000</v>
      </c>
      <c r="M120" s="89">
        <f t="shared" si="35"/>
        <v>0</v>
      </c>
    </row>
    <row r="121" spans="1:10" ht="13.5" thickTop="1">
      <c r="A121" s="90"/>
      <c r="B121" s="90"/>
      <c r="C121" s="90"/>
      <c r="D121" s="90"/>
      <c r="E121" s="90"/>
      <c r="F121" s="91"/>
      <c r="G121" s="92"/>
      <c r="H121" s="90"/>
      <c r="I121" s="90"/>
      <c r="J121" s="44"/>
    </row>
    <row r="122" spans="1:10" ht="12.75">
      <c r="A122" s="90"/>
      <c r="B122" s="90"/>
      <c r="C122" s="90"/>
      <c r="D122" s="90"/>
      <c r="E122" s="92"/>
      <c r="F122" s="93"/>
      <c r="G122" s="92"/>
      <c r="H122" s="92"/>
      <c r="I122" s="92"/>
      <c r="J122" s="44"/>
    </row>
  </sheetData>
  <sheetProtection/>
  <mergeCells count="15">
    <mergeCell ref="A120:D120"/>
    <mergeCell ref="E11:E13"/>
    <mergeCell ref="F11:M11"/>
    <mergeCell ref="F12:F13"/>
    <mergeCell ref="G12:I12"/>
    <mergeCell ref="J12:J13"/>
    <mergeCell ref="K12:M12"/>
    <mergeCell ref="A11:A13"/>
    <mergeCell ref="B11:B13"/>
    <mergeCell ref="C11:C13"/>
    <mergeCell ref="D11:D13"/>
    <mergeCell ref="A6:M6"/>
    <mergeCell ref="A7:M7"/>
    <mergeCell ref="A8:M8"/>
    <mergeCell ref="A9:M9"/>
  </mergeCells>
  <printOptions horizontalCentered="1"/>
  <pageMargins left="0.4724409448818898" right="0.2755905511811024" top="0.5511811023622047" bottom="0.7874015748031497" header="1.1023622047244095" footer="0.5118110236220472"/>
  <pageSetup horizontalDpi="600" verticalDpi="600" orientation="landscape" paperSize="9" scale="67" r:id="rId1"/>
  <rowBreaks count="6" manualBreakCount="6">
    <brk id="27" max="12" man="1"/>
    <brk id="46" max="12" man="1"/>
    <brk id="64" max="12" man="1"/>
    <brk id="85" max="12" man="1"/>
    <brk id="104" max="12" man="1"/>
    <brk id="12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5.625" style="0" customWidth="1"/>
    <col min="3" max="3" width="96.25390625" style="0" bestFit="1" customWidth="1"/>
    <col min="4" max="4" width="14.875" style="0" customWidth="1"/>
    <col min="5" max="5" width="13.25390625" style="0" bestFit="1" customWidth="1"/>
  </cols>
  <sheetData>
    <row r="1" spans="1:5" ht="12.75">
      <c r="A1" s="94"/>
      <c r="B1" s="94"/>
      <c r="C1" s="94"/>
      <c r="D1" s="94" t="s">
        <v>117</v>
      </c>
      <c r="E1" s="94"/>
    </row>
    <row r="2" spans="1:5" ht="12.75">
      <c r="A2" s="94"/>
      <c r="B2" s="94"/>
      <c r="C2" s="94"/>
      <c r="D2" s="10" t="s">
        <v>315</v>
      </c>
      <c r="E2" s="94"/>
    </row>
    <row r="3" spans="1:5" ht="12.75">
      <c r="A3" s="94"/>
      <c r="B3" s="94"/>
      <c r="C3" s="94"/>
      <c r="D3" s="10" t="s">
        <v>21</v>
      </c>
      <c r="E3" s="94"/>
    </row>
    <row r="4" spans="1:5" ht="12.75">
      <c r="A4" s="94"/>
      <c r="B4" s="94"/>
      <c r="C4" s="94"/>
      <c r="D4" s="11" t="s">
        <v>316</v>
      </c>
      <c r="E4" s="94"/>
    </row>
    <row r="5" spans="1:5" ht="12.75">
      <c r="A5" s="94"/>
      <c r="B5" s="94"/>
      <c r="C5" s="94"/>
      <c r="D5" s="94"/>
      <c r="E5" s="94"/>
    </row>
    <row r="6" spans="1:5" ht="16.5" customHeight="1">
      <c r="A6" s="533" t="s">
        <v>272</v>
      </c>
      <c r="B6" s="534"/>
      <c r="C6" s="534"/>
      <c r="D6" s="534"/>
      <c r="E6" s="534"/>
    </row>
    <row r="7" spans="1:5" ht="15.75" customHeight="1">
      <c r="A7" s="511" t="s">
        <v>118</v>
      </c>
      <c r="B7" s="535"/>
      <c r="C7" s="535"/>
      <c r="D7" s="535"/>
      <c r="E7" s="535"/>
    </row>
    <row r="8" spans="1:5" ht="15.75" customHeight="1" thickBot="1">
      <c r="A8" s="94"/>
      <c r="B8" s="94"/>
      <c r="C8" s="94"/>
      <c r="D8" s="94"/>
      <c r="E8" s="95"/>
    </row>
    <row r="9" spans="1:5" ht="18" customHeight="1" thickBot="1">
      <c r="A9" s="96" t="s">
        <v>119</v>
      </c>
      <c r="B9" s="97"/>
      <c r="C9" s="98" t="s">
        <v>120</v>
      </c>
      <c r="D9" s="99" t="s">
        <v>121</v>
      </c>
      <c r="E9" s="100" t="s">
        <v>122</v>
      </c>
    </row>
    <row r="10" spans="1:5" ht="18" customHeight="1" thickBot="1" thickTop="1">
      <c r="A10" s="101" t="s">
        <v>123</v>
      </c>
      <c r="B10" s="102"/>
      <c r="C10" s="102" t="s">
        <v>124</v>
      </c>
      <c r="D10" s="103">
        <f>D11+D12+D13</f>
        <v>5432300</v>
      </c>
      <c r="E10" s="104">
        <f>SUM(D10/D30)</f>
        <v>0.16543084086087867</v>
      </c>
    </row>
    <row r="11" spans="1:5" ht="31.5" customHeight="1" thickTop="1">
      <c r="A11" s="105"/>
      <c r="B11" s="106">
        <v>1</v>
      </c>
      <c r="C11" s="425" t="s">
        <v>125</v>
      </c>
      <c r="D11" s="57">
        <v>4456300</v>
      </c>
      <c r="E11" s="107">
        <f>D11*100/D30/100</f>
        <v>0.13570853158484134</v>
      </c>
    </row>
    <row r="12" spans="1:5" ht="16.5" customHeight="1">
      <c r="A12" s="108"/>
      <c r="B12" s="109">
        <v>2</v>
      </c>
      <c r="C12" s="426" t="s">
        <v>126</v>
      </c>
      <c r="D12" s="61">
        <v>975000</v>
      </c>
      <c r="E12" s="107">
        <f>D12*100/D30/100</f>
        <v>0.029691856090303684</v>
      </c>
    </row>
    <row r="13" spans="1:5" ht="28.5" customHeight="1" thickBot="1">
      <c r="A13" s="110"/>
      <c r="B13" s="111">
        <v>3</v>
      </c>
      <c r="C13" s="271" t="s">
        <v>127</v>
      </c>
      <c r="D13" s="72">
        <v>1000</v>
      </c>
      <c r="E13" s="112">
        <f>D13*100/D30/100</f>
        <v>3.0453185733644805E-05</v>
      </c>
    </row>
    <row r="14" spans="1:5" ht="17.25" customHeight="1" thickBot="1" thickTop="1">
      <c r="A14" s="101" t="s">
        <v>128</v>
      </c>
      <c r="B14" s="114"/>
      <c r="C14" s="102" t="s">
        <v>129</v>
      </c>
      <c r="D14" s="115">
        <f>D15+D16+D17</f>
        <v>18081414</v>
      </c>
      <c r="E14" s="104">
        <f>SUM(D14/D30)</f>
        <v>0.5506366588689254</v>
      </c>
    </row>
    <row r="15" spans="1:5" ht="18.75" customHeight="1" thickTop="1">
      <c r="A15" s="105"/>
      <c r="B15" s="106">
        <v>1</v>
      </c>
      <c r="C15" s="427" t="s">
        <v>130</v>
      </c>
      <c r="D15" s="57">
        <v>11646992</v>
      </c>
      <c r="E15" s="107">
        <f>D15*100/D30/100</f>
        <v>0.3546880106142752</v>
      </c>
    </row>
    <row r="16" spans="1:5" ht="19.5" customHeight="1">
      <c r="A16" s="108"/>
      <c r="B16" s="109">
        <v>2</v>
      </c>
      <c r="C16" s="426" t="s">
        <v>131</v>
      </c>
      <c r="D16" s="61">
        <v>5055505</v>
      </c>
      <c r="E16" s="116">
        <f>D16*100/D30/100</f>
        <v>0.15395623274236997</v>
      </c>
    </row>
    <row r="17" spans="1:5" ht="22.5" customHeight="1" thickBot="1">
      <c r="A17" s="110"/>
      <c r="B17" s="111">
        <v>3</v>
      </c>
      <c r="C17" s="423" t="s">
        <v>132</v>
      </c>
      <c r="D17" s="72">
        <v>1378917</v>
      </c>
      <c r="E17" s="117">
        <f>D17*100/D30/100</f>
        <v>0.04199241551228029</v>
      </c>
    </row>
    <row r="18" spans="1:5" ht="18" customHeight="1" thickBot="1" thickTop="1">
      <c r="A18" s="101" t="s">
        <v>133</v>
      </c>
      <c r="B18" s="114"/>
      <c r="C18" s="102" t="s">
        <v>134</v>
      </c>
      <c r="D18" s="115">
        <f>SUM(D19:D21)</f>
        <v>1252952</v>
      </c>
      <c r="E18" s="104">
        <f>SUM(D18/D30)</f>
        <v>0.038156379971341726</v>
      </c>
    </row>
    <row r="19" spans="1:5" ht="27.75" customHeight="1" thickTop="1">
      <c r="A19" s="110"/>
      <c r="B19" s="111">
        <v>1</v>
      </c>
      <c r="C19" s="345" t="s">
        <v>135</v>
      </c>
      <c r="D19" s="72">
        <v>19500</v>
      </c>
      <c r="E19" s="117">
        <f>D19*100/D30/100</f>
        <v>0.0005938371218060736</v>
      </c>
    </row>
    <row r="20" spans="1:5" ht="27.75" customHeight="1">
      <c r="A20" s="110"/>
      <c r="B20" s="111">
        <v>2</v>
      </c>
      <c r="C20" s="345" t="s">
        <v>136</v>
      </c>
      <c r="D20" s="72">
        <v>412800</v>
      </c>
      <c r="E20" s="117">
        <f>D20*100/D30/100</f>
        <v>0.012571075070848576</v>
      </c>
    </row>
    <row r="21" spans="1:5" ht="13.5" thickBot="1">
      <c r="A21" s="110"/>
      <c r="B21" s="111">
        <v>3</v>
      </c>
      <c r="C21" s="345" t="s">
        <v>295</v>
      </c>
      <c r="D21" s="72">
        <f>166613+329202+238050+86787</f>
        <v>820652</v>
      </c>
      <c r="E21" s="117">
        <f>D21*100/D30/100</f>
        <v>0.024991467778687076</v>
      </c>
    </row>
    <row r="22" spans="1:5" ht="18" customHeight="1" thickBot="1" thickTop="1">
      <c r="A22" s="101" t="s">
        <v>138</v>
      </c>
      <c r="B22" s="114"/>
      <c r="C22" s="102" t="s">
        <v>139</v>
      </c>
      <c r="D22" s="115">
        <f>SUM(D23:D29)</f>
        <v>8070621</v>
      </c>
      <c r="E22" s="104">
        <f>SUM(D22/D30)</f>
        <v>0.24577612029885418</v>
      </c>
    </row>
    <row r="23" spans="1:5" ht="31.5" customHeight="1" thickTop="1">
      <c r="A23" s="118"/>
      <c r="B23" s="106">
        <v>1</v>
      </c>
      <c r="C23" s="425" t="s">
        <v>140</v>
      </c>
      <c r="D23" s="57">
        <v>3254106</v>
      </c>
      <c r="E23" s="107">
        <f>D23*100/D30/100</f>
        <v>0.09909789441496797</v>
      </c>
    </row>
    <row r="24" spans="1:5" ht="28.5" customHeight="1">
      <c r="A24" s="118"/>
      <c r="B24" s="106">
        <v>2</v>
      </c>
      <c r="C24" s="425" t="s">
        <v>141</v>
      </c>
      <c r="D24" s="57">
        <v>120000</v>
      </c>
      <c r="E24" s="107">
        <f>D24*100/D30/100</f>
        <v>0.003654382288037377</v>
      </c>
    </row>
    <row r="25" spans="1:5" ht="33" customHeight="1">
      <c r="A25" s="108"/>
      <c r="B25" s="109">
        <v>3</v>
      </c>
      <c r="C25" s="428" t="s">
        <v>137</v>
      </c>
      <c r="D25" s="61">
        <f>250000+50000</f>
        <v>300000</v>
      </c>
      <c r="E25" s="107">
        <f>D25*100/D30/100</f>
        <v>0.009135955720093441</v>
      </c>
    </row>
    <row r="26" spans="1:5" ht="33" customHeight="1">
      <c r="A26" s="105"/>
      <c r="B26" s="106">
        <v>4</v>
      </c>
      <c r="C26" s="428" t="s">
        <v>312</v>
      </c>
      <c r="D26" s="57">
        <v>100000</v>
      </c>
      <c r="E26" s="486">
        <f>SUM(D26/D30)</f>
        <v>0.0030453185733644804</v>
      </c>
    </row>
    <row r="27" spans="1:5" ht="15.75" customHeight="1">
      <c r="A27" s="118"/>
      <c r="B27" s="106">
        <v>5</v>
      </c>
      <c r="C27" s="427" t="s">
        <v>142</v>
      </c>
      <c r="D27" s="57">
        <f>900000+163100-3100</f>
        <v>1060000</v>
      </c>
      <c r="E27" s="107">
        <f>D27*100/D30/100</f>
        <v>0.03228037687766349</v>
      </c>
    </row>
    <row r="28" spans="1:5" ht="16.5" customHeight="1">
      <c r="A28" s="119"/>
      <c r="B28" s="109">
        <v>6</v>
      </c>
      <c r="C28" s="426" t="s">
        <v>143</v>
      </c>
      <c r="D28" s="120">
        <v>1500000</v>
      </c>
      <c r="E28" s="116">
        <f>D28*100/D30/100</f>
        <v>0.04567977860046721</v>
      </c>
    </row>
    <row r="29" spans="1:5" ht="15.75" customHeight="1" thickBot="1">
      <c r="A29" s="121"/>
      <c r="B29" s="111">
        <v>7</v>
      </c>
      <c r="C29" s="423" t="s">
        <v>144</v>
      </c>
      <c r="D29" s="122">
        <f>1563415+60000+100000+10000+3100</f>
        <v>1736515</v>
      </c>
      <c r="E29" s="117">
        <f>D29*100/D30/100</f>
        <v>0.052882413824260205</v>
      </c>
    </row>
    <row r="30" spans="1:5" ht="14.25" thickBot="1" thickTop="1">
      <c r="A30" s="536" t="s">
        <v>15</v>
      </c>
      <c r="B30" s="537"/>
      <c r="C30" s="537"/>
      <c r="D30" s="123">
        <f>D10+D14+D18+D22</f>
        <v>32837287</v>
      </c>
      <c r="E30" s="124">
        <f>E10+E14+E18+E22</f>
        <v>1</v>
      </c>
    </row>
    <row r="31" ht="13.5" thickTop="1"/>
  </sheetData>
  <sheetProtection/>
  <mergeCells count="3">
    <mergeCell ref="A6:E6"/>
    <mergeCell ref="A7:E7"/>
    <mergeCell ref="A30:C30"/>
  </mergeCells>
  <printOptions horizontalCentered="1"/>
  <pageMargins left="0.7874015748031497" right="0.7874015748031497" top="0.38" bottom="0.26" header="0.56" footer="0.2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="79" zoomScaleNormal="79" zoomScalePageLayoutView="0" workbookViewId="0" topLeftCell="A55">
      <selection activeCell="M25" sqref="M25"/>
    </sheetView>
  </sheetViews>
  <sheetFormatPr defaultColWidth="9.00390625" defaultRowHeight="12.75"/>
  <cols>
    <col min="3" max="3" width="41.625" style="0" bestFit="1" customWidth="1"/>
    <col min="4" max="4" width="17.00390625" style="0" customWidth="1"/>
    <col min="5" max="5" width="12.00390625" style="0" bestFit="1" customWidth="1"/>
    <col min="6" max="6" width="13.25390625" style="0" customWidth="1"/>
    <col min="7" max="7" width="11.375" style="0" customWidth="1"/>
    <col min="8" max="8" width="10.875" style="0" bestFit="1" customWidth="1"/>
    <col min="9" max="9" width="12.00390625" style="0" customWidth="1"/>
    <col min="10" max="10" width="13.125" style="0" customWidth="1"/>
  </cols>
  <sheetData>
    <row r="1" spans="1:10" ht="12.75">
      <c r="A1" s="125"/>
      <c r="B1" s="125"/>
      <c r="C1" s="125"/>
      <c r="D1" s="125"/>
      <c r="E1" s="125"/>
      <c r="F1" s="125"/>
      <c r="G1" s="125"/>
      <c r="H1" s="125"/>
      <c r="I1" s="125" t="s">
        <v>145</v>
      </c>
      <c r="J1" s="125"/>
    </row>
    <row r="2" spans="1:10" ht="12.75">
      <c r="A2" s="125"/>
      <c r="B2" s="125"/>
      <c r="C2" s="125"/>
      <c r="D2" s="125"/>
      <c r="E2" s="125"/>
      <c r="F2" s="125"/>
      <c r="G2" s="125"/>
      <c r="H2" s="125"/>
      <c r="I2" s="10" t="s">
        <v>315</v>
      </c>
      <c r="J2" s="125"/>
    </row>
    <row r="3" spans="1:10" ht="12.75">
      <c r="A3" s="125"/>
      <c r="B3" s="125"/>
      <c r="C3" s="125"/>
      <c r="D3" s="125"/>
      <c r="E3" s="125"/>
      <c r="F3" s="125"/>
      <c r="G3" s="125"/>
      <c r="H3" s="125"/>
      <c r="I3" s="10" t="s">
        <v>21</v>
      </c>
      <c r="J3" s="125"/>
    </row>
    <row r="4" spans="1:10" ht="12.75">
      <c r="A4" s="125"/>
      <c r="B4" s="125"/>
      <c r="C4" s="125"/>
      <c r="D4" s="125"/>
      <c r="E4" s="125"/>
      <c r="F4" s="125"/>
      <c r="G4" s="125"/>
      <c r="H4" s="125"/>
      <c r="I4" s="11" t="s">
        <v>316</v>
      </c>
      <c r="J4" s="125"/>
    </row>
    <row r="5" spans="1:10" ht="15">
      <c r="A5" s="547" t="s">
        <v>146</v>
      </c>
      <c r="B5" s="548"/>
      <c r="C5" s="548"/>
      <c r="D5" s="548"/>
      <c r="E5" s="548"/>
      <c r="F5" s="548"/>
      <c r="G5" s="548"/>
      <c r="H5" s="548"/>
      <c r="I5" s="548"/>
      <c r="J5" s="548"/>
    </row>
    <row r="6" spans="1:10" ht="12.75" customHeight="1">
      <c r="A6" s="547" t="s">
        <v>273</v>
      </c>
      <c r="B6" s="548"/>
      <c r="C6" s="548"/>
      <c r="D6" s="548"/>
      <c r="E6" s="548"/>
      <c r="F6" s="548"/>
      <c r="G6" s="548"/>
      <c r="H6" s="548"/>
      <c r="I6" s="548"/>
      <c r="J6" s="548"/>
    </row>
    <row r="7" spans="1:10" ht="15.75" customHeight="1">
      <c r="A7" s="547" t="s">
        <v>30</v>
      </c>
      <c r="B7" s="548"/>
      <c r="C7" s="548"/>
      <c r="D7" s="548"/>
      <c r="E7" s="548"/>
      <c r="F7" s="548"/>
      <c r="G7" s="548"/>
      <c r="H7" s="548"/>
      <c r="I7" s="548"/>
      <c r="J7" s="548"/>
    </row>
    <row r="8" spans="1:10" ht="15.7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8" customHeight="1">
      <c r="A9" s="549" t="s">
        <v>0</v>
      </c>
      <c r="B9" s="549" t="s">
        <v>147</v>
      </c>
      <c r="C9" s="550" t="s">
        <v>36</v>
      </c>
      <c r="D9" s="542" t="s">
        <v>148</v>
      </c>
      <c r="E9" s="539" t="s">
        <v>149</v>
      </c>
      <c r="F9" s="540"/>
      <c r="G9" s="540"/>
      <c r="H9" s="540"/>
      <c r="I9" s="540"/>
      <c r="J9" s="541"/>
    </row>
    <row r="10" spans="1:10" ht="18.75" customHeight="1">
      <c r="A10" s="549"/>
      <c r="B10" s="549"/>
      <c r="C10" s="550"/>
      <c r="D10" s="542"/>
      <c r="E10" s="542" t="s">
        <v>150</v>
      </c>
      <c r="F10" s="542"/>
      <c r="G10" s="542"/>
      <c r="H10" s="542"/>
      <c r="I10" s="542"/>
      <c r="J10" s="543" t="s">
        <v>151</v>
      </c>
    </row>
    <row r="11" spans="1:10" ht="13.5" customHeight="1">
      <c r="A11" s="549"/>
      <c r="B11" s="549"/>
      <c r="C11" s="550"/>
      <c r="D11" s="542"/>
      <c r="E11" s="544" t="s">
        <v>15</v>
      </c>
      <c r="F11" s="546" t="s">
        <v>39</v>
      </c>
      <c r="G11" s="546"/>
      <c r="H11" s="546"/>
      <c r="I11" s="546"/>
      <c r="J11" s="543"/>
    </row>
    <row r="12" spans="1:10" ht="36">
      <c r="A12" s="549"/>
      <c r="B12" s="549"/>
      <c r="C12" s="550"/>
      <c r="D12" s="542"/>
      <c r="E12" s="545"/>
      <c r="F12" s="126" t="s">
        <v>152</v>
      </c>
      <c r="G12" s="126" t="s">
        <v>153</v>
      </c>
      <c r="H12" s="126" t="s">
        <v>154</v>
      </c>
      <c r="I12" s="126" t="s">
        <v>155</v>
      </c>
      <c r="J12" s="543"/>
    </row>
    <row r="13" spans="1:10" ht="13.5" thickBot="1">
      <c r="A13" s="127">
        <v>1</v>
      </c>
      <c r="B13" s="127">
        <v>2</v>
      </c>
      <c r="C13" s="128">
        <v>3</v>
      </c>
      <c r="D13" s="128">
        <v>4</v>
      </c>
      <c r="E13" s="360">
        <v>5</v>
      </c>
      <c r="F13" s="128">
        <v>6</v>
      </c>
      <c r="G13" s="128">
        <v>7</v>
      </c>
      <c r="H13" s="128">
        <v>8</v>
      </c>
      <c r="I13" s="128">
        <v>9</v>
      </c>
      <c r="J13" s="365">
        <v>10</v>
      </c>
    </row>
    <row r="14" spans="1:10" ht="14.25" thickBot="1" thickTop="1">
      <c r="A14" s="62" t="s">
        <v>22</v>
      </c>
      <c r="B14" s="130"/>
      <c r="C14" s="130" t="s">
        <v>5</v>
      </c>
      <c r="D14" s="53">
        <f>E14+J14</f>
        <v>85000</v>
      </c>
      <c r="E14" s="349">
        <f>F14+G14+H14+I14</f>
        <v>85000</v>
      </c>
      <c r="F14" s="53">
        <v>0</v>
      </c>
      <c r="G14" s="53">
        <f>G15</f>
        <v>85000</v>
      </c>
      <c r="H14" s="53">
        <v>0</v>
      </c>
      <c r="I14" s="53">
        <f>I15</f>
        <v>0</v>
      </c>
      <c r="J14" s="349">
        <f>J15</f>
        <v>0</v>
      </c>
    </row>
    <row r="15" spans="1:10" ht="27" thickBot="1" thickTop="1">
      <c r="A15" s="131"/>
      <c r="B15" s="132" t="s">
        <v>156</v>
      </c>
      <c r="C15" s="133" t="s">
        <v>157</v>
      </c>
      <c r="D15" s="80">
        <f>E15</f>
        <v>85000</v>
      </c>
      <c r="E15" s="361">
        <f>G15</f>
        <v>85000</v>
      </c>
      <c r="F15" s="80">
        <v>0</v>
      </c>
      <c r="G15" s="80">
        <v>85000</v>
      </c>
      <c r="H15" s="80">
        <v>0</v>
      </c>
      <c r="I15" s="80">
        <v>0</v>
      </c>
      <c r="J15" s="361">
        <v>0</v>
      </c>
    </row>
    <row r="16" spans="1:10" ht="21" customHeight="1" thickBot="1" thickTop="1">
      <c r="A16" s="62" t="s">
        <v>23</v>
      </c>
      <c r="B16" s="129"/>
      <c r="C16" s="134" t="s">
        <v>6</v>
      </c>
      <c r="D16" s="53">
        <f>E16++J16</f>
        <v>19500</v>
      </c>
      <c r="E16" s="349">
        <f>F16+G16+H16+I16</f>
        <v>19500</v>
      </c>
      <c r="F16" s="53">
        <v>0</v>
      </c>
      <c r="G16" s="85">
        <f>G17</f>
        <v>19500</v>
      </c>
      <c r="H16" s="85">
        <f>H17</f>
        <v>0</v>
      </c>
      <c r="I16" s="85">
        <f>I17</f>
        <v>0</v>
      </c>
      <c r="J16" s="414">
        <f>J17</f>
        <v>0</v>
      </c>
    </row>
    <row r="17" spans="1:10" ht="14.25" thickBot="1" thickTop="1">
      <c r="A17" s="135"/>
      <c r="B17" s="66" t="s">
        <v>158</v>
      </c>
      <c r="C17" s="136" t="s">
        <v>159</v>
      </c>
      <c r="D17" s="57">
        <f>E17</f>
        <v>19500</v>
      </c>
      <c r="E17" s="350">
        <f>F17+G17+H17+I17</f>
        <v>19500</v>
      </c>
      <c r="F17" s="57">
        <v>0</v>
      </c>
      <c r="G17" s="80">
        <v>19500</v>
      </c>
      <c r="H17" s="57">
        <v>0</v>
      </c>
      <c r="I17" s="57">
        <v>0</v>
      </c>
      <c r="J17" s="350">
        <v>0</v>
      </c>
    </row>
    <row r="18" spans="1:10" ht="14.25" thickBot="1" thickTop="1">
      <c r="A18" s="129">
        <v>150</v>
      </c>
      <c r="B18" s="129"/>
      <c r="C18" s="134" t="s">
        <v>297</v>
      </c>
      <c r="D18" s="53">
        <f aca="true" t="shared" si="0" ref="D18:D47">E18+J18</f>
        <v>329202</v>
      </c>
      <c r="E18" s="349">
        <f>F18+G18+H18+I18</f>
        <v>329202</v>
      </c>
      <c r="F18" s="53">
        <f>F19</f>
        <v>37100</v>
      </c>
      <c r="G18" s="85">
        <f>G19</f>
        <v>292102</v>
      </c>
      <c r="H18" s="53">
        <f>H19</f>
        <v>0</v>
      </c>
      <c r="I18" s="53">
        <v>0</v>
      </c>
      <c r="J18" s="349">
        <f>J19</f>
        <v>0</v>
      </c>
    </row>
    <row r="19" spans="1:10" ht="27" thickBot="1" thickTop="1">
      <c r="A19" s="131"/>
      <c r="B19" s="131">
        <v>15013</v>
      </c>
      <c r="C19" s="56" t="s">
        <v>298</v>
      </c>
      <c r="D19" s="80">
        <f t="shared" si="0"/>
        <v>329202</v>
      </c>
      <c r="E19" s="361">
        <f>F19+G19+H19</f>
        <v>329202</v>
      </c>
      <c r="F19" s="80">
        <f>37100</f>
        <v>37100</v>
      </c>
      <c r="G19" s="80">
        <f>292102</f>
        <v>292102</v>
      </c>
      <c r="H19" s="80">
        <v>0</v>
      </c>
      <c r="I19" s="80">
        <v>0</v>
      </c>
      <c r="J19" s="361"/>
    </row>
    <row r="20" spans="1:10" ht="14.25" thickBot="1" thickTop="1">
      <c r="A20" s="129">
        <v>600</v>
      </c>
      <c r="B20" s="129"/>
      <c r="C20" s="134" t="s">
        <v>7</v>
      </c>
      <c r="D20" s="53">
        <f t="shared" si="0"/>
        <v>2200000</v>
      </c>
      <c r="E20" s="349">
        <f>F20+G20+H20+I20</f>
        <v>1711250</v>
      </c>
      <c r="F20" s="53">
        <f>F21+F22</f>
        <v>546000</v>
      </c>
      <c r="G20" s="53">
        <f>G21+G22</f>
        <v>1145250</v>
      </c>
      <c r="H20" s="53">
        <f>H21+H22</f>
        <v>20000</v>
      </c>
      <c r="I20" s="53">
        <f>I21+I22</f>
        <v>0</v>
      </c>
      <c r="J20" s="416">
        <f>J21+J22</f>
        <v>488750</v>
      </c>
    </row>
    <row r="21" spans="1:10" ht="13.5" thickTop="1">
      <c r="A21" s="131"/>
      <c r="B21" s="131">
        <v>60014</v>
      </c>
      <c r="C21" s="133" t="s">
        <v>160</v>
      </c>
      <c r="D21" s="80">
        <f t="shared" si="0"/>
        <v>2180000</v>
      </c>
      <c r="E21" s="361">
        <f>F21+G21+H21</f>
        <v>1691250</v>
      </c>
      <c r="F21" s="80">
        <f>376139+65896+103965</f>
        <v>546000</v>
      </c>
      <c r="G21" s="80">
        <f>1413250-268000</f>
        <v>1145250</v>
      </c>
      <c r="H21" s="80">
        <f>120000-120000</f>
        <v>0</v>
      </c>
      <c r="I21" s="80">
        <v>0</v>
      </c>
      <c r="J21" s="361">
        <f>288750+200000</f>
        <v>488750</v>
      </c>
    </row>
    <row r="22" spans="1:10" ht="13.5" thickBot="1">
      <c r="A22" s="139"/>
      <c r="B22" s="139">
        <v>60016</v>
      </c>
      <c r="C22" s="487" t="s">
        <v>313</v>
      </c>
      <c r="D22" s="80">
        <f t="shared" si="0"/>
        <v>20000</v>
      </c>
      <c r="E22" s="488">
        <f>F22+G22+H22</f>
        <v>20000</v>
      </c>
      <c r="F22" s="82">
        <v>0</v>
      </c>
      <c r="G22" s="82">
        <v>0</v>
      </c>
      <c r="H22" s="82">
        <v>20000</v>
      </c>
      <c r="I22" s="82">
        <v>0</v>
      </c>
      <c r="J22" s="489">
        <v>0</v>
      </c>
    </row>
    <row r="23" spans="1:10" ht="14.25" thickBot="1" thickTop="1">
      <c r="A23" s="129">
        <v>630</v>
      </c>
      <c r="B23" s="129"/>
      <c r="C23" s="134" t="s">
        <v>161</v>
      </c>
      <c r="D23" s="53">
        <f t="shared" si="0"/>
        <v>20000</v>
      </c>
      <c r="E23" s="349">
        <f aca="true" t="shared" si="1" ref="E23:E44">F23+G23+H23+I23</f>
        <v>20000</v>
      </c>
      <c r="F23" s="53">
        <v>0</v>
      </c>
      <c r="G23" s="85">
        <f>G24</f>
        <v>20000</v>
      </c>
      <c r="H23" s="53">
        <v>0</v>
      </c>
      <c r="I23" s="53">
        <v>0</v>
      </c>
      <c r="J23" s="349">
        <v>0</v>
      </c>
    </row>
    <row r="24" spans="1:10" ht="14.25" thickBot="1" thickTop="1">
      <c r="A24" s="139"/>
      <c r="B24" s="139">
        <v>63095</v>
      </c>
      <c r="C24" s="140" t="s">
        <v>162</v>
      </c>
      <c r="D24" s="82">
        <f t="shared" si="0"/>
        <v>20000</v>
      </c>
      <c r="E24" s="362">
        <f t="shared" si="1"/>
        <v>20000</v>
      </c>
      <c r="F24" s="82">
        <v>0</v>
      </c>
      <c r="G24" s="82">
        <v>20000</v>
      </c>
      <c r="H24" s="82">
        <v>0</v>
      </c>
      <c r="I24" s="82">
        <v>0</v>
      </c>
      <c r="J24" s="362">
        <v>0</v>
      </c>
    </row>
    <row r="25" spans="1:10" ht="14.25" thickBot="1" thickTop="1">
      <c r="A25" s="129">
        <v>700</v>
      </c>
      <c r="B25" s="129"/>
      <c r="C25" s="134" t="s">
        <v>8</v>
      </c>
      <c r="D25" s="53">
        <f t="shared" si="0"/>
        <v>42000</v>
      </c>
      <c r="E25" s="349">
        <f t="shared" si="1"/>
        <v>42000</v>
      </c>
      <c r="F25" s="53">
        <v>0</v>
      </c>
      <c r="G25" s="85">
        <f>G26</f>
        <v>42000</v>
      </c>
      <c r="H25" s="53">
        <v>0</v>
      </c>
      <c r="I25" s="53">
        <v>0</v>
      </c>
      <c r="J25" s="349">
        <v>0</v>
      </c>
    </row>
    <row r="26" spans="1:10" ht="14.25" thickBot="1" thickTop="1">
      <c r="A26" s="139"/>
      <c r="B26" s="139">
        <v>70005</v>
      </c>
      <c r="C26" s="140" t="s">
        <v>50</v>
      </c>
      <c r="D26" s="82">
        <f t="shared" si="0"/>
        <v>42000</v>
      </c>
      <c r="E26" s="362">
        <f t="shared" si="1"/>
        <v>42000</v>
      </c>
      <c r="F26" s="82">
        <v>0</v>
      </c>
      <c r="G26" s="82">
        <f>40000+12000-10000</f>
        <v>42000</v>
      </c>
      <c r="H26" s="82">
        <v>0</v>
      </c>
      <c r="I26" s="82">
        <v>0</v>
      </c>
      <c r="J26" s="362">
        <v>0</v>
      </c>
    </row>
    <row r="27" spans="1:10" ht="14.25" thickBot="1" thickTop="1">
      <c r="A27" s="129">
        <v>710</v>
      </c>
      <c r="B27" s="129"/>
      <c r="C27" s="134" t="s">
        <v>9</v>
      </c>
      <c r="D27" s="53">
        <f t="shared" si="0"/>
        <v>446100</v>
      </c>
      <c r="E27" s="349">
        <f t="shared" si="1"/>
        <v>411100</v>
      </c>
      <c r="F27" s="53">
        <f>F29+F30+F31+F28+F32</f>
        <v>219259</v>
      </c>
      <c r="G27" s="53">
        <f>G29+G30+G31+G28+G32</f>
        <v>99841</v>
      </c>
      <c r="H27" s="53">
        <f>H29+H30+H31+H28+H32</f>
        <v>92000</v>
      </c>
      <c r="I27" s="53">
        <f>I29+I30+I31+I28+I32</f>
        <v>0</v>
      </c>
      <c r="J27" s="416">
        <f>J29+J30+J31+J28+J32</f>
        <v>35000</v>
      </c>
    </row>
    <row r="28" spans="1:10" ht="26.25" thickTop="1">
      <c r="A28" s="131"/>
      <c r="B28" s="131">
        <v>71012</v>
      </c>
      <c r="C28" s="133" t="s">
        <v>163</v>
      </c>
      <c r="D28" s="80">
        <f t="shared" si="0"/>
        <v>92000</v>
      </c>
      <c r="E28" s="361">
        <f t="shared" si="1"/>
        <v>92000</v>
      </c>
      <c r="F28" s="80">
        <v>0</v>
      </c>
      <c r="G28" s="80">
        <v>0</v>
      </c>
      <c r="H28" s="80">
        <v>92000</v>
      </c>
      <c r="I28" s="80">
        <v>0</v>
      </c>
      <c r="J28" s="361">
        <v>0</v>
      </c>
    </row>
    <row r="29" spans="1:10" ht="25.5">
      <c r="A29" s="131"/>
      <c r="B29" s="131">
        <v>71013</v>
      </c>
      <c r="C29" s="133" t="s">
        <v>53</v>
      </c>
      <c r="D29" s="80">
        <f t="shared" si="0"/>
        <v>73000</v>
      </c>
      <c r="E29" s="361">
        <f t="shared" si="1"/>
        <v>73000</v>
      </c>
      <c r="F29" s="80">
        <v>0</v>
      </c>
      <c r="G29" s="80">
        <v>73000</v>
      </c>
      <c r="H29" s="80">
        <v>0</v>
      </c>
      <c r="I29" s="80">
        <v>0</v>
      </c>
      <c r="J29" s="361">
        <v>0</v>
      </c>
    </row>
    <row r="30" spans="1:10" ht="12.75">
      <c r="A30" s="141"/>
      <c r="B30" s="141">
        <v>71014</v>
      </c>
      <c r="C30" s="142" t="s">
        <v>54</v>
      </c>
      <c r="D30" s="79">
        <f t="shared" si="0"/>
        <v>18000</v>
      </c>
      <c r="E30" s="354">
        <f t="shared" si="1"/>
        <v>18000</v>
      </c>
      <c r="F30" s="79">
        <v>0</v>
      </c>
      <c r="G30" s="79">
        <v>18000</v>
      </c>
      <c r="H30" s="79">
        <v>0</v>
      </c>
      <c r="I30" s="79">
        <v>0</v>
      </c>
      <c r="J30" s="354">
        <v>0</v>
      </c>
    </row>
    <row r="31" spans="1:10" ht="12.75">
      <c r="A31" s="141"/>
      <c r="B31" s="141">
        <v>71015</v>
      </c>
      <c r="C31" s="142" t="s">
        <v>164</v>
      </c>
      <c r="D31" s="79">
        <f t="shared" si="0"/>
        <v>261100</v>
      </c>
      <c r="E31" s="354">
        <f t="shared" si="1"/>
        <v>226100</v>
      </c>
      <c r="F31" s="79">
        <f>185013+34246</f>
        <v>219259</v>
      </c>
      <c r="G31" s="79">
        <f>6841</f>
        <v>6841</v>
      </c>
      <c r="H31" s="79">
        <v>0</v>
      </c>
      <c r="I31" s="79">
        <v>0</v>
      </c>
      <c r="J31" s="354">
        <v>35000</v>
      </c>
    </row>
    <row r="32" spans="1:10" ht="13.5" thickBot="1">
      <c r="A32" s="141"/>
      <c r="B32" s="141">
        <v>71095</v>
      </c>
      <c r="C32" s="314" t="s">
        <v>162</v>
      </c>
      <c r="D32" s="79">
        <f t="shared" si="0"/>
        <v>2000</v>
      </c>
      <c r="E32" s="354">
        <f t="shared" si="1"/>
        <v>2000</v>
      </c>
      <c r="F32" s="79">
        <v>0</v>
      </c>
      <c r="G32" s="79">
        <v>2000</v>
      </c>
      <c r="H32" s="79">
        <v>0</v>
      </c>
      <c r="I32" s="79">
        <v>0</v>
      </c>
      <c r="J32" s="354">
        <v>0</v>
      </c>
    </row>
    <row r="33" spans="1:10" s="44" customFormat="1" ht="14.25" thickBot="1" thickTop="1">
      <c r="A33" s="129">
        <v>750</v>
      </c>
      <c r="B33" s="129"/>
      <c r="C33" s="134" t="s">
        <v>56</v>
      </c>
      <c r="D33" s="53">
        <f t="shared" si="0"/>
        <v>4448034</v>
      </c>
      <c r="E33" s="349">
        <f t="shared" si="1"/>
        <v>4448034</v>
      </c>
      <c r="F33" s="85">
        <f>F34+F35+F36+F37+F38</f>
        <v>2886768</v>
      </c>
      <c r="G33" s="85">
        <f>G34+G35+G36+G37+G38</f>
        <v>1561266</v>
      </c>
      <c r="H33" s="53">
        <f>H34+H35+H36+H37+H38</f>
        <v>0</v>
      </c>
      <c r="I33" s="53">
        <f>I34+I35+I36+I37</f>
        <v>0</v>
      </c>
      <c r="J33" s="349">
        <f>J34+J35+J36+J37</f>
        <v>0</v>
      </c>
    </row>
    <row r="34" spans="1:10" ht="13.5" thickTop="1">
      <c r="A34" s="131"/>
      <c r="B34" s="131">
        <v>75011</v>
      </c>
      <c r="C34" s="133" t="s">
        <v>57</v>
      </c>
      <c r="D34" s="80">
        <f t="shared" si="0"/>
        <v>102200</v>
      </c>
      <c r="E34" s="361">
        <f t="shared" si="1"/>
        <v>102200</v>
      </c>
      <c r="F34" s="80">
        <f>84498+15202</f>
        <v>99700</v>
      </c>
      <c r="G34" s="80">
        <f>2500</f>
        <v>2500</v>
      </c>
      <c r="H34" s="80">
        <v>0</v>
      </c>
      <c r="I34" s="80">
        <v>0</v>
      </c>
      <c r="J34" s="361">
        <v>0</v>
      </c>
    </row>
    <row r="35" spans="1:10" ht="12.75">
      <c r="A35" s="141"/>
      <c r="B35" s="141">
        <v>75019</v>
      </c>
      <c r="C35" s="142" t="s">
        <v>165</v>
      </c>
      <c r="D35" s="79">
        <f t="shared" si="0"/>
        <v>230000</v>
      </c>
      <c r="E35" s="354">
        <f t="shared" si="1"/>
        <v>230000</v>
      </c>
      <c r="F35" s="79">
        <v>0</v>
      </c>
      <c r="G35" s="79">
        <f>234000-4000</f>
        <v>230000</v>
      </c>
      <c r="H35" s="79">
        <v>0</v>
      </c>
      <c r="I35" s="79">
        <v>0</v>
      </c>
      <c r="J35" s="354">
        <v>0</v>
      </c>
    </row>
    <row r="36" spans="1:10" ht="12.75">
      <c r="A36" s="141"/>
      <c r="B36" s="141">
        <v>75020</v>
      </c>
      <c r="C36" s="142" t="s">
        <v>58</v>
      </c>
      <c r="D36" s="79">
        <f t="shared" si="0"/>
        <v>4055834</v>
      </c>
      <c r="E36" s="354">
        <f t="shared" si="1"/>
        <v>4055834</v>
      </c>
      <c r="F36" s="79">
        <f>2369092+415776+1200</f>
        <v>2786068</v>
      </c>
      <c r="G36" s="79">
        <f>1371000+53717+5000-100000-59951</f>
        <v>1269766</v>
      </c>
      <c r="H36" s="79">
        <v>0</v>
      </c>
      <c r="I36" s="79">
        <v>0</v>
      </c>
      <c r="J36" s="354">
        <f>550000-550000</f>
        <v>0</v>
      </c>
    </row>
    <row r="37" spans="1:10" ht="12.75">
      <c r="A37" s="137"/>
      <c r="B37" s="137">
        <v>75045</v>
      </c>
      <c r="C37" s="138" t="s">
        <v>166</v>
      </c>
      <c r="D37" s="83">
        <f t="shared" si="0"/>
        <v>15000</v>
      </c>
      <c r="E37" s="355">
        <f t="shared" si="1"/>
        <v>15000</v>
      </c>
      <c r="F37" s="83">
        <v>1000</v>
      </c>
      <c r="G37" s="83">
        <v>14000</v>
      </c>
      <c r="H37" s="83">
        <v>0</v>
      </c>
      <c r="I37" s="83">
        <v>0</v>
      </c>
      <c r="J37" s="355">
        <v>0</v>
      </c>
    </row>
    <row r="38" spans="1:10" ht="13.5" thickBot="1">
      <c r="A38" s="141"/>
      <c r="B38" s="141">
        <v>75075</v>
      </c>
      <c r="C38" s="142" t="s">
        <v>167</v>
      </c>
      <c r="D38" s="83">
        <f t="shared" si="0"/>
        <v>45000</v>
      </c>
      <c r="E38" s="355">
        <f t="shared" si="1"/>
        <v>45000</v>
      </c>
      <c r="F38" s="79">
        <v>0</v>
      </c>
      <c r="G38" s="79">
        <f>60000-10000-5000</f>
        <v>45000</v>
      </c>
      <c r="H38" s="79">
        <v>0</v>
      </c>
      <c r="I38" s="79">
        <v>0</v>
      </c>
      <c r="J38" s="354">
        <v>0</v>
      </c>
    </row>
    <row r="39" spans="1:10" ht="27" thickBot="1" thickTop="1">
      <c r="A39" s="129">
        <v>754</v>
      </c>
      <c r="B39" s="129"/>
      <c r="C39" s="134" t="s">
        <v>10</v>
      </c>
      <c r="D39" s="53">
        <f t="shared" si="0"/>
        <v>2837000</v>
      </c>
      <c r="E39" s="349">
        <f t="shared" si="1"/>
        <v>2837000</v>
      </c>
      <c r="F39" s="53">
        <f>F40+F41</f>
        <v>2206743</v>
      </c>
      <c r="G39" s="53">
        <f>G40+G41</f>
        <v>630257</v>
      </c>
      <c r="H39" s="53">
        <f>H40+H41</f>
        <v>0</v>
      </c>
      <c r="I39" s="53">
        <f>I40+I41</f>
        <v>0</v>
      </c>
      <c r="J39" s="349">
        <f>J40+J41</f>
        <v>0</v>
      </c>
    </row>
    <row r="40" spans="1:10" ht="26.25" thickTop="1">
      <c r="A40" s="131"/>
      <c r="B40" s="131">
        <v>75411</v>
      </c>
      <c r="C40" s="133" t="s">
        <v>168</v>
      </c>
      <c r="D40" s="80">
        <f t="shared" si="0"/>
        <v>2767000</v>
      </c>
      <c r="E40" s="361">
        <f t="shared" si="1"/>
        <v>2767000</v>
      </c>
      <c r="F40" s="80">
        <f>2192323+14420</f>
        <v>2206743</v>
      </c>
      <c r="G40" s="80">
        <f>560257</f>
        <v>560257</v>
      </c>
      <c r="H40" s="80">
        <v>0</v>
      </c>
      <c r="I40" s="80">
        <v>0</v>
      </c>
      <c r="J40" s="361">
        <v>0</v>
      </c>
    </row>
    <row r="41" spans="1:10" ht="13.5" thickBot="1">
      <c r="A41" s="137"/>
      <c r="B41" s="137">
        <v>75495</v>
      </c>
      <c r="C41" s="138" t="s">
        <v>162</v>
      </c>
      <c r="D41" s="83">
        <f t="shared" si="0"/>
        <v>70000</v>
      </c>
      <c r="E41" s="355">
        <f t="shared" si="1"/>
        <v>70000</v>
      </c>
      <c r="F41" s="83">
        <v>0</v>
      </c>
      <c r="G41" s="83">
        <f>75000-5000</f>
        <v>70000</v>
      </c>
      <c r="H41" s="83">
        <v>0</v>
      </c>
      <c r="I41" s="83">
        <v>0</v>
      </c>
      <c r="J41" s="355">
        <f>40000-40000</f>
        <v>0</v>
      </c>
    </row>
    <row r="42" spans="1:10" ht="14.25" thickBot="1" thickTop="1">
      <c r="A42" s="129">
        <v>757</v>
      </c>
      <c r="B42" s="129"/>
      <c r="C42" s="134" t="s">
        <v>11</v>
      </c>
      <c r="D42" s="53">
        <f t="shared" si="0"/>
        <v>1120000</v>
      </c>
      <c r="E42" s="349">
        <f t="shared" si="1"/>
        <v>1120000</v>
      </c>
      <c r="F42" s="53">
        <f>F43</f>
        <v>0</v>
      </c>
      <c r="G42" s="53">
        <f>G43</f>
        <v>0</v>
      </c>
      <c r="H42" s="53">
        <f>H43</f>
        <v>0</v>
      </c>
      <c r="I42" s="53">
        <f>I43</f>
        <v>1120000</v>
      </c>
      <c r="J42" s="416">
        <f>J43</f>
        <v>0</v>
      </c>
    </row>
    <row r="43" spans="1:10" ht="40.5" customHeight="1" thickBot="1" thickTop="1">
      <c r="A43" s="143"/>
      <c r="B43" s="143">
        <v>75702</v>
      </c>
      <c r="C43" s="144" t="s">
        <v>270</v>
      </c>
      <c r="D43" s="145">
        <f t="shared" si="0"/>
        <v>1120000</v>
      </c>
      <c r="E43" s="363">
        <f t="shared" si="1"/>
        <v>1120000</v>
      </c>
      <c r="F43" s="145">
        <v>0</v>
      </c>
      <c r="G43" s="145">
        <v>0</v>
      </c>
      <c r="H43" s="145">
        <v>0</v>
      </c>
      <c r="I43" s="145">
        <f>1122000-2000</f>
        <v>1120000</v>
      </c>
      <c r="J43" s="494">
        <v>0</v>
      </c>
    </row>
    <row r="44" spans="1:10" ht="14.25" thickBot="1" thickTop="1">
      <c r="A44" s="129">
        <v>758</v>
      </c>
      <c r="B44" s="129"/>
      <c r="C44" s="134" t="s">
        <v>12</v>
      </c>
      <c r="D44" s="53">
        <f t="shared" si="0"/>
        <v>1405348</v>
      </c>
      <c r="E44" s="416">
        <f t="shared" si="1"/>
        <v>916000</v>
      </c>
      <c r="F44" s="53">
        <f>F45</f>
        <v>0</v>
      </c>
      <c r="G44" s="53">
        <f>G45</f>
        <v>916000</v>
      </c>
      <c r="H44" s="53">
        <f>H45</f>
        <v>0</v>
      </c>
      <c r="I44" s="53">
        <f>I45</f>
        <v>0</v>
      </c>
      <c r="J44" s="416">
        <f>J45</f>
        <v>489348</v>
      </c>
    </row>
    <row r="45" spans="1:10" ht="16.5" customHeight="1" thickTop="1">
      <c r="A45" s="139"/>
      <c r="B45" s="139">
        <v>75818</v>
      </c>
      <c r="C45" s="140" t="s">
        <v>169</v>
      </c>
      <c r="D45" s="145">
        <f t="shared" si="0"/>
        <v>1405348</v>
      </c>
      <c r="E45" s="489">
        <f aca="true" t="shared" si="2" ref="E45:J45">E46+E47</f>
        <v>916000</v>
      </c>
      <c r="F45" s="82">
        <f t="shared" si="2"/>
        <v>0</v>
      </c>
      <c r="G45" s="82">
        <f t="shared" si="2"/>
        <v>916000</v>
      </c>
      <c r="H45" s="82">
        <f t="shared" si="2"/>
        <v>0</v>
      </c>
      <c r="I45" s="82">
        <f t="shared" si="2"/>
        <v>0</v>
      </c>
      <c r="J45" s="489">
        <f t="shared" si="2"/>
        <v>489348</v>
      </c>
    </row>
    <row r="46" spans="1:10" ht="12.75">
      <c r="A46" s="141"/>
      <c r="B46" s="141"/>
      <c r="C46" s="490" t="s">
        <v>266</v>
      </c>
      <c r="D46" s="80">
        <f t="shared" si="0"/>
        <v>221000</v>
      </c>
      <c r="E46" s="493">
        <f aca="true" t="shared" si="3" ref="E46:E61">F46+G46+H46+I46</f>
        <v>221000</v>
      </c>
      <c r="F46" s="79">
        <v>0</v>
      </c>
      <c r="G46" s="79">
        <f>906000-685000</f>
        <v>221000</v>
      </c>
      <c r="H46" s="79">
        <v>0</v>
      </c>
      <c r="I46" s="79">
        <v>0</v>
      </c>
      <c r="J46" s="493">
        <f>0</f>
        <v>0</v>
      </c>
    </row>
    <row r="47" spans="1:10" ht="12.75">
      <c r="A47" s="139"/>
      <c r="B47" s="139"/>
      <c r="C47" s="491" t="s">
        <v>170</v>
      </c>
      <c r="D47" s="82">
        <f t="shared" si="0"/>
        <v>1184348</v>
      </c>
      <c r="E47" s="489">
        <f t="shared" si="3"/>
        <v>695000</v>
      </c>
      <c r="F47" s="82"/>
      <c r="G47" s="82">
        <f>10000+487000+198000</f>
        <v>695000</v>
      </c>
      <c r="H47" s="82">
        <f>SUM(H48:H48)</f>
        <v>0</v>
      </c>
      <c r="I47" s="82">
        <f>SUM(I48:I48)</f>
        <v>0</v>
      </c>
      <c r="J47" s="489">
        <f>489348</f>
        <v>489348</v>
      </c>
    </row>
    <row r="48" spans="1:10" ht="29.25" customHeight="1" thickBot="1">
      <c r="A48" s="141"/>
      <c r="B48" s="141"/>
      <c r="C48" s="492" t="s">
        <v>171</v>
      </c>
      <c r="D48" s="79">
        <f>E48</f>
        <v>10000</v>
      </c>
      <c r="E48" s="493">
        <f t="shared" si="3"/>
        <v>10000</v>
      </c>
      <c r="F48" s="79">
        <v>0</v>
      </c>
      <c r="G48" s="79">
        <v>10000</v>
      </c>
      <c r="H48" s="79">
        <v>0</v>
      </c>
      <c r="I48" s="79">
        <v>0</v>
      </c>
      <c r="J48" s="493">
        <v>0</v>
      </c>
    </row>
    <row r="49" spans="1:10" ht="14.25" thickBot="1" thickTop="1">
      <c r="A49" s="129">
        <v>801</v>
      </c>
      <c r="B49" s="129"/>
      <c r="C49" s="134" t="s">
        <v>87</v>
      </c>
      <c r="D49" s="53">
        <f aca="true" t="shared" si="4" ref="D49:D83">E49+J49</f>
        <v>8742547</v>
      </c>
      <c r="E49" s="349">
        <f t="shared" si="3"/>
        <v>8742547</v>
      </c>
      <c r="F49" s="53">
        <f>F50+F51+F52+F53+F54+F55+F56+F57+F58+F59</f>
        <v>5665283</v>
      </c>
      <c r="G49" s="53">
        <f>G50+G51+G52+G53+G54+G55+G56+G57+G58+G59</f>
        <v>1141905</v>
      </c>
      <c r="H49" s="53">
        <f>H50+H51+H52+H53+H54+H55+H56+H57+H58+H59</f>
        <v>1935359</v>
      </c>
      <c r="I49" s="53">
        <f>I50+I51+I52+I53+I54+I55+I56+I57+I58+I59</f>
        <v>0</v>
      </c>
      <c r="J49" s="349">
        <f>J50+J51+J52+J53+J54+J55+J56+J57+J58+J59</f>
        <v>0</v>
      </c>
    </row>
    <row r="50" spans="1:10" ht="13.5" thickTop="1">
      <c r="A50" s="131"/>
      <c r="B50" s="131">
        <v>80102</v>
      </c>
      <c r="C50" s="133" t="s">
        <v>88</v>
      </c>
      <c r="D50" s="80">
        <f t="shared" si="4"/>
        <v>384772</v>
      </c>
      <c r="E50" s="361">
        <f t="shared" si="3"/>
        <v>384772</v>
      </c>
      <c r="F50" s="80">
        <f>337760</f>
        <v>337760</v>
      </c>
      <c r="G50" s="80">
        <f>47012</f>
        <v>47012</v>
      </c>
      <c r="H50" s="80">
        <v>0</v>
      </c>
      <c r="I50" s="80">
        <v>0</v>
      </c>
      <c r="J50" s="361">
        <v>0</v>
      </c>
    </row>
    <row r="51" spans="1:10" ht="12.75">
      <c r="A51" s="141"/>
      <c r="B51" s="141">
        <v>80111</v>
      </c>
      <c r="C51" s="142" t="s">
        <v>89</v>
      </c>
      <c r="D51" s="79">
        <f t="shared" si="4"/>
        <v>399938</v>
      </c>
      <c r="E51" s="354">
        <f t="shared" si="3"/>
        <v>399938</v>
      </c>
      <c r="F51" s="79">
        <f>351723</f>
        <v>351723</v>
      </c>
      <c r="G51" s="79">
        <f>48215</f>
        <v>48215</v>
      </c>
      <c r="H51" s="79">
        <v>0</v>
      </c>
      <c r="I51" s="79">
        <v>0</v>
      </c>
      <c r="J51" s="354"/>
    </row>
    <row r="52" spans="1:10" ht="12.75">
      <c r="A52" s="141"/>
      <c r="B52" s="141">
        <v>80120</v>
      </c>
      <c r="C52" s="142" t="s">
        <v>90</v>
      </c>
      <c r="D52" s="79">
        <f t="shared" si="4"/>
        <v>2125302</v>
      </c>
      <c r="E52" s="354">
        <f t="shared" si="3"/>
        <v>2125302</v>
      </c>
      <c r="F52" s="79">
        <f>1629359+23180</f>
        <v>1652539</v>
      </c>
      <c r="G52" s="79">
        <f>261324+17242</f>
        <v>278566</v>
      </c>
      <c r="H52" s="79">
        <v>194197</v>
      </c>
      <c r="I52" s="79">
        <v>0</v>
      </c>
      <c r="J52" s="354">
        <v>0</v>
      </c>
    </row>
    <row r="53" spans="1:10" ht="12.75">
      <c r="A53" s="141"/>
      <c r="B53" s="141">
        <v>80123</v>
      </c>
      <c r="C53" s="142" t="s">
        <v>172</v>
      </c>
      <c r="D53" s="79">
        <f t="shared" si="4"/>
        <v>158678</v>
      </c>
      <c r="E53" s="354">
        <f t="shared" si="3"/>
        <v>158678</v>
      </c>
      <c r="F53" s="79">
        <f>54876+77474</f>
        <v>132350</v>
      </c>
      <c r="G53" s="79">
        <f>7984+18344</f>
        <v>26328</v>
      </c>
      <c r="H53" s="79">
        <v>0</v>
      </c>
      <c r="I53" s="79">
        <v>0</v>
      </c>
      <c r="J53" s="354">
        <v>0</v>
      </c>
    </row>
    <row r="54" spans="1:10" ht="12.75">
      <c r="A54" s="141"/>
      <c r="B54" s="141">
        <v>80130</v>
      </c>
      <c r="C54" s="142" t="s">
        <v>92</v>
      </c>
      <c r="D54" s="79">
        <f t="shared" si="4"/>
        <v>3421874</v>
      </c>
      <c r="E54" s="354">
        <f t="shared" si="3"/>
        <v>3421874</v>
      </c>
      <c r="F54" s="79">
        <f>2651575</f>
        <v>2651575</v>
      </c>
      <c r="G54" s="79">
        <f>622934</f>
        <v>622934</v>
      </c>
      <c r="H54" s="79">
        <v>147365</v>
      </c>
      <c r="I54" s="79">
        <v>0</v>
      </c>
      <c r="J54" s="354">
        <v>0</v>
      </c>
    </row>
    <row r="55" spans="1:10" ht="12.75">
      <c r="A55" s="141"/>
      <c r="B55" s="141">
        <v>80134</v>
      </c>
      <c r="C55" s="142" t="s">
        <v>96</v>
      </c>
      <c r="D55" s="79">
        <f t="shared" si="4"/>
        <v>548934</v>
      </c>
      <c r="E55" s="354">
        <f t="shared" si="3"/>
        <v>548934</v>
      </c>
      <c r="F55" s="79">
        <f>432526+77984</f>
        <v>510510</v>
      </c>
      <c r="G55" s="79">
        <f>38424</f>
        <v>38424</v>
      </c>
      <c r="H55" s="79">
        <v>0</v>
      </c>
      <c r="I55" s="79">
        <v>0</v>
      </c>
      <c r="J55" s="354">
        <v>0</v>
      </c>
    </row>
    <row r="56" spans="1:10" ht="38.25">
      <c r="A56" s="141"/>
      <c r="B56" s="141">
        <v>80140</v>
      </c>
      <c r="C56" s="142" t="s">
        <v>173</v>
      </c>
      <c r="D56" s="79">
        <f t="shared" si="4"/>
        <v>18000</v>
      </c>
      <c r="E56" s="354">
        <f t="shared" si="3"/>
        <v>18000</v>
      </c>
      <c r="F56" s="79">
        <f>7500+1326</f>
        <v>8826</v>
      </c>
      <c r="G56" s="79">
        <f>9174</f>
        <v>9174</v>
      </c>
      <c r="H56" s="79">
        <v>0</v>
      </c>
      <c r="I56" s="79">
        <v>0</v>
      </c>
      <c r="J56" s="354">
        <v>0</v>
      </c>
    </row>
    <row r="57" spans="1:10" ht="12.75">
      <c r="A57" s="141"/>
      <c r="B57" s="141">
        <v>80144</v>
      </c>
      <c r="C57" s="142" t="s">
        <v>174</v>
      </c>
      <c r="D57" s="79">
        <f t="shared" si="4"/>
        <v>1593797</v>
      </c>
      <c r="E57" s="354">
        <f t="shared" si="3"/>
        <v>1593797</v>
      </c>
      <c r="F57" s="79">
        <v>0</v>
      </c>
      <c r="G57" s="79">
        <v>0</v>
      </c>
      <c r="H57" s="79">
        <v>1593797</v>
      </c>
      <c r="I57" s="79">
        <v>0</v>
      </c>
      <c r="J57" s="354">
        <v>0</v>
      </c>
    </row>
    <row r="58" spans="1:10" ht="12.75">
      <c r="A58" s="141"/>
      <c r="B58" s="141">
        <v>80146</v>
      </c>
      <c r="C58" s="142" t="s">
        <v>175</v>
      </c>
      <c r="D58" s="79">
        <f t="shared" si="4"/>
        <v>48500</v>
      </c>
      <c r="E58" s="354">
        <f t="shared" si="3"/>
        <v>48500</v>
      </c>
      <c r="F58" s="79">
        <v>0</v>
      </c>
      <c r="G58" s="79">
        <v>48500</v>
      </c>
      <c r="H58" s="79">
        <v>0</v>
      </c>
      <c r="I58" s="79">
        <v>0</v>
      </c>
      <c r="J58" s="354">
        <v>0</v>
      </c>
    </row>
    <row r="59" spans="1:10" ht="13.5" thickBot="1">
      <c r="A59" s="141"/>
      <c r="B59" s="141">
        <v>80195</v>
      </c>
      <c r="C59" s="142" t="s">
        <v>162</v>
      </c>
      <c r="D59" s="79">
        <f t="shared" si="4"/>
        <v>42752</v>
      </c>
      <c r="E59" s="354">
        <f t="shared" si="3"/>
        <v>42752</v>
      </c>
      <c r="F59" s="79">
        <v>20000</v>
      </c>
      <c r="G59" s="79">
        <v>22752</v>
      </c>
      <c r="H59" s="79">
        <v>0</v>
      </c>
      <c r="I59" s="79">
        <v>0</v>
      </c>
      <c r="J59" s="354">
        <v>0</v>
      </c>
    </row>
    <row r="60" spans="1:10" ht="14.25" thickBot="1" thickTop="1">
      <c r="A60" s="129">
        <v>851</v>
      </c>
      <c r="B60" s="129"/>
      <c r="C60" s="134" t="s">
        <v>13</v>
      </c>
      <c r="D60" s="53">
        <f t="shared" si="4"/>
        <v>1568000</v>
      </c>
      <c r="E60" s="349">
        <f t="shared" si="3"/>
        <v>1568000</v>
      </c>
      <c r="F60" s="53">
        <f>F61+F62</f>
        <v>0</v>
      </c>
      <c r="G60" s="53">
        <f>G61+G62</f>
        <v>1568000</v>
      </c>
      <c r="H60" s="53">
        <f>H61+H62</f>
        <v>0</v>
      </c>
      <c r="I60" s="53">
        <f>I61+I62</f>
        <v>0</v>
      </c>
      <c r="J60" s="349">
        <f>J61+J62</f>
        <v>0</v>
      </c>
    </row>
    <row r="61" spans="1:10" ht="39" thickTop="1">
      <c r="A61" s="131"/>
      <c r="B61" s="131">
        <v>85156</v>
      </c>
      <c r="C61" s="133" t="s">
        <v>98</v>
      </c>
      <c r="D61" s="80">
        <f t="shared" si="4"/>
        <v>1068000</v>
      </c>
      <c r="E61" s="361">
        <f t="shared" si="3"/>
        <v>1068000</v>
      </c>
      <c r="F61" s="80">
        <v>0</v>
      </c>
      <c r="G61" s="80">
        <f>14000+1054000</f>
        <v>1068000</v>
      </c>
      <c r="H61" s="80">
        <v>0</v>
      </c>
      <c r="I61" s="80">
        <v>0</v>
      </c>
      <c r="J61" s="361">
        <v>0</v>
      </c>
    </row>
    <row r="62" spans="1:10" ht="13.5" thickBot="1">
      <c r="A62" s="141"/>
      <c r="B62" s="141">
        <v>85195</v>
      </c>
      <c r="C62" s="142" t="s">
        <v>162</v>
      </c>
      <c r="D62" s="79">
        <f t="shared" si="4"/>
        <v>500000</v>
      </c>
      <c r="E62" s="354">
        <f>SUM(F62:I62)</f>
        <v>500000</v>
      </c>
      <c r="F62" s="79">
        <v>0</v>
      </c>
      <c r="G62" s="79">
        <v>500000</v>
      </c>
      <c r="H62" s="79">
        <v>0</v>
      </c>
      <c r="I62" s="79">
        <v>0</v>
      </c>
      <c r="J62" s="354">
        <v>0</v>
      </c>
    </row>
    <row r="63" spans="1:10" s="44" customFormat="1" ht="14.25" thickBot="1" thickTop="1">
      <c r="A63" s="324">
        <v>852</v>
      </c>
      <c r="B63" s="325"/>
      <c r="C63" s="134" t="s">
        <v>102</v>
      </c>
      <c r="D63" s="53">
        <f t="shared" si="4"/>
        <v>5522107</v>
      </c>
      <c r="E63" s="349">
        <f aca="true" t="shared" si="5" ref="E63:E83">F63+G63+H63+I63</f>
        <v>5442107</v>
      </c>
      <c r="F63" s="53">
        <f>F64+F65+F66+F67+F68</f>
        <v>3018433</v>
      </c>
      <c r="G63" s="53">
        <f>G64+G65+G66+G67+G68</f>
        <v>1863405</v>
      </c>
      <c r="H63" s="53">
        <f>H64+H65+H66+H67+H68</f>
        <v>560269</v>
      </c>
      <c r="I63" s="53">
        <f>I64+I65+I66+I67+I68</f>
        <v>0</v>
      </c>
      <c r="J63" s="349">
        <f>J64+J65+J66+J67+J68</f>
        <v>80000</v>
      </c>
    </row>
    <row r="64" spans="1:10" ht="13.5" thickTop="1">
      <c r="A64" s="131"/>
      <c r="B64" s="131">
        <v>85201</v>
      </c>
      <c r="C64" s="133" t="s">
        <v>176</v>
      </c>
      <c r="D64" s="80">
        <f t="shared" si="4"/>
        <v>1931269</v>
      </c>
      <c r="E64" s="361">
        <f t="shared" si="5"/>
        <v>1931269</v>
      </c>
      <c r="F64" s="80">
        <f>809500+141000</f>
        <v>950500</v>
      </c>
      <c r="G64" s="80">
        <f>65000+360500-5000</f>
        <v>420500</v>
      </c>
      <c r="H64" s="80">
        <f>675269-115000</f>
        <v>560269</v>
      </c>
      <c r="I64" s="80">
        <v>0</v>
      </c>
      <c r="J64" s="361">
        <f>120000-120000</f>
        <v>0</v>
      </c>
    </row>
    <row r="65" spans="1:10" ht="12.75">
      <c r="A65" s="141"/>
      <c r="B65" s="141">
        <v>85202</v>
      </c>
      <c r="C65" s="142" t="s">
        <v>107</v>
      </c>
      <c r="D65" s="79">
        <f t="shared" si="4"/>
        <v>2608263</v>
      </c>
      <c r="E65" s="493">
        <f t="shared" si="5"/>
        <v>2528263</v>
      </c>
      <c r="F65" s="79">
        <f>1545852+274506</f>
        <v>1820358</v>
      </c>
      <c r="G65" s="79">
        <f>891319-94100-9314-80000</f>
        <v>707905</v>
      </c>
      <c r="H65" s="79">
        <v>0</v>
      </c>
      <c r="I65" s="79">
        <v>0</v>
      </c>
      <c r="J65" s="493">
        <f>80000</f>
        <v>80000</v>
      </c>
    </row>
    <row r="66" spans="1:10" ht="12.75">
      <c r="A66" s="312"/>
      <c r="B66" s="141">
        <v>85204</v>
      </c>
      <c r="C66" s="142" t="s">
        <v>177</v>
      </c>
      <c r="D66" s="61">
        <f t="shared" si="4"/>
        <v>700000</v>
      </c>
      <c r="E66" s="351">
        <f t="shared" si="5"/>
        <v>700000</v>
      </c>
      <c r="F66" s="61">
        <v>0</v>
      </c>
      <c r="G66" s="61">
        <f>786000-36000-50000</f>
        <v>700000</v>
      </c>
      <c r="H66" s="61">
        <v>0</v>
      </c>
      <c r="I66" s="61">
        <v>0</v>
      </c>
      <c r="J66" s="351">
        <v>0</v>
      </c>
    </row>
    <row r="67" spans="1:10" ht="12.75">
      <c r="A67" s="141"/>
      <c r="B67" s="141">
        <v>85218</v>
      </c>
      <c r="C67" s="142" t="s">
        <v>178</v>
      </c>
      <c r="D67" s="79">
        <f t="shared" si="4"/>
        <v>275575</v>
      </c>
      <c r="E67" s="354">
        <f t="shared" si="5"/>
        <v>275575</v>
      </c>
      <c r="F67" s="79">
        <f>238873+44215-35513</f>
        <v>247575</v>
      </c>
      <c r="G67" s="79">
        <f>28000</f>
        <v>28000</v>
      </c>
      <c r="H67" s="79">
        <v>0</v>
      </c>
      <c r="I67" s="79">
        <v>0</v>
      </c>
      <c r="J67" s="354">
        <v>0</v>
      </c>
    </row>
    <row r="68" spans="1:10" ht="13.5" thickBot="1">
      <c r="A68" s="139"/>
      <c r="B68" s="139">
        <v>85295</v>
      </c>
      <c r="C68" s="140" t="s">
        <v>162</v>
      </c>
      <c r="D68" s="79">
        <f t="shared" si="4"/>
        <v>7000</v>
      </c>
      <c r="E68" s="354">
        <f t="shared" si="5"/>
        <v>7000</v>
      </c>
      <c r="F68" s="82">
        <v>0</v>
      </c>
      <c r="G68" s="82">
        <f>7000</f>
        <v>7000</v>
      </c>
      <c r="H68" s="82">
        <v>0</v>
      </c>
      <c r="I68" s="82">
        <v>0</v>
      </c>
      <c r="J68" s="362">
        <v>0</v>
      </c>
    </row>
    <row r="69" spans="1:10" ht="27" thickBot="1" thickTop="1">
      <c r="A69" s="129">
        <v>853</v>
      </c>
      <c r="B69" s="129"/>
      <c r="C69" s="134" t="s">
        <v>18</v>
      </c>
      <c r="D69" s="53">
        <f t="shared" si="4"/>
        <v>1741752</v>
      </c>
      <c r="E69" s="349">
        <f t="shared" si="5"/>
        <v>1741752</v>
      </c>
      <c r="F69" s="53">
        <f>F71+F72+F70+F73</f>
        <v>1451815</v>
      </c>
      <c r="G69" s="53">
        <f>G71+G72+G70+G73</f>
        <v>237771</v>
      </c>
      <c r="H69" s="53">
        <f>H71+H72+H70+H73</f>
        <v>52166</v>
      </c>
      <c r="I69" s="53">
        <f>I71+I72+I70</f>
        <v>0</v>
      </c>
      <c r="J69" s="349">
        <f>J71+J72</f>
        <v>0</v>
      </c>
    </row>
    <row r="70" spans="1:10" ht="26.25" thickTop="1">
      <c r="A70" s="146"/>
      <c r="B70" s="143">
        <v>85311</v>
      </c>
      <c r="C70" s="144" t="s">
        <v>179</v>
      </c>
      <c r="D70" s="145">
        <f t="shared" si="4"/>
        <v>52166</v>
      </c>
      <c r="E70" s="364">
        <f t="shared" si="5"/>
        <v>52166</v>
      </c>
      <c r="F70" s="145">
        <v>0</v>
      </c>
      <c r="G70" s="145">
        <v>0</v>
      </c>
      <c r="H70" s="145">
        <f>82852-30686</f>
        <v>52166</v>
      </c>
      <c r="I70" s="145">
        <v>0</v>
      </c>
      <c r="J70" s="364">
        <v>0</v>
      </c>
    </row>
    <row r="71" spans="1:10" ht="25.5">
      <c r="A71" s="131"/>
      <c r="B71" s="131">
        <v>85321</v>
      </c>
      <c r="C71" s="133" t="s">
        <v>109</v>
      </c>
      <c r="D71" s="80">
        <f t="shared" si="4"/>
        <v>49000</v>
      </c>
      <c r="E71" s="361">
        <f t="shared" si="5"/>
        <v>49000</v>
      </c>
      <c r="F71" s="80">
        <f>36307+7500</f>
        <v>43807</v>
      </c>
      <c r="G71" s="80">
        <f>5193</f>
        <v>5193</v>
      </c>
      <c r="H71" s="80">
        <v>0</v>
      </c>
      <c r="I71" s="80">
        <v>0</v>
      </c>
      <c r="J71" s="361">
        <v>0</v>
      </c>
    </row>
    <row r="72" spans="1:10" ht="12.75">
      <c r="A72" s="413"/>
      <c r="B72" s="137">
        <v>85333</v>
      </c>
      <c r="C72" s="138" t="s">
        <v>180</v>
      </c>
      <c r="D72" s="83">
        <f t="shared" si="4"/>
        <v>1149136</v>
      </c>
      <c r="E72" s="355">
        <f t="shared" si="5"/>
        <v>1149136</v>
      </c>
      <c r="F72" s="83">
        <f>900336+156900</f>
        <v>1057236</v>
      </c>
      <c r="G72" s="83">
        <v>91900</v>
      </c>
      <c r="H72" s="83">
        <v>0</v>
      </c>
      <c r="I72" s="83">
        <v>0</v>
      </c>
      <c r="J72" s="355">
        <v>0</v>
      </c>
    </row>
    <row r="73" spans="1:10" ht="13.5" thickBot="1">
      <c r="A73" s="411"/>
      <c r="B73" s="137">
        <v>85395</v>
      </c>
      <c r="C73" s="340" t="s">
        <v>162</v>
      </c>
      <c r="D73" s="83">
        <f t="shared" si="4"/>
        <v>491450</v>
      </c>
      <c r="E73" s="355">
        <f t="shared" si="5"/>
        <v>491450</v>
      </c>
      <c r="F73" s="83">
        <f>97560+166425+86787</f>
        <v>350772</v>
      </c>
      <c r="G73" s="83">
        <f>69053+71625</f>
        <v>140678</v>
      </c>
      <c r="H73" s="83">
        <v>0</v>
      </c>
      <c r="I73" s="83">
        <v>0</v>
      </c>
      <c r="J73" s="355">
        <v>0</v>
      </c>
    </row>
    <row r="74" spans="1:10" ht="14.25" thickBot="1" thickTop="1">
      <c r="A74" s="129">
        <v>854</v>
      </c>
      <c r="B74" s="129"/>
      <c r="C74" s="134" t="s">
        <v>14</v>
      </c>
      <c r="D74" s="53">
        <f t="shared" si="4"/>
        <v>2112597</v>
      </c>
      <c r="E74" s="349">
        <f t="shared" si="5"/>
        <v>2112597</v>
      </c>
      <c r="F74" s="53">
        <f>F75+F76+F77+F78</f>
        <v>1644618</v>
      </c>
      <c r="G74" s="53">
        <f>G75+G76+G77+G78</f>
        <v>467979</v>
      </c>
      <c r="H74" s="53">
        <f>H75+H76+H77+H78</f>
        <v>0</v>
      </c>
      <c r="I74" s="53">
        <f>I75+I76+I77+I78</f>
        <v>0</v>
      </c>
      <c r="J74" s="349">
        <f>J75+J76+J77+J78</f>
        <v>0</v>
      </c>
    </row>
    <row r="75" spans="1:10" ht="19.5" customHeight="1" thickTop="1">
      <c r="A75" s="131"/>
      <c r="B75" s="131">
        <v>85403</v>
      </c>
      <c r="C75" s="133" t="s">
        <v>181</v>
      </c>
      <c r="D75" s="80">
        <f t="shared" si="4"/>
        <v>1186800</v>
      </c>
      <c r="E75" s="361">
        <f t="shared" si="5"/>
        <v>1186800</v>
      </c>
      <c r="F75" s="80">
        <f>893836</f>
        <v>893836</v>
      </c>
      <c r="G75" s="80">
        <f>292964</f>
        <v>292964</v>
      </c>
      <c r="H75" s="80">
        <v>0</v>
      </c>
      <c r="I75" s="80">
        <v>0</v>
      </c>
      <c r="J75" s="361"/>
    </row>
    <row r="76" spans="1:10" ht="25.5">
      <c r="A76" s="141"/>
      <c r="B76" s="141">
        <v>85406</v>
      </c>
      <c r="C76" s="142" t="s">
        <v>182</v>
      </c>
      <c r="D76" s="79">
        <f t="shared" si="4"/>
        <v>447996</v>
      </c>
      <c r="E76" s="354">
        <f t="shared" si="5"/>
        <v>447996</v>
      </c>
      <c r="F76" s="79">
        <f>337606+62490</f>
        <v>400096</v>
      </c>
      <c r="G76" s="79">
        <v>47900</v>
      </c>
      <c r="H76" s="79">
        <v>0</v>
      </c>
      <c r="I76" s="79">
        <v>0</v>
      </c>
      <c r="J76" s="354">
        <v>0</v>
      </c>
    </row>
    <row r="77" spans="1:10" ht="12.75">
      <c r="A77" s="141"/>
      <c r="B77" s="141">
        <v>85407</v>
      </c>
      <c r="C77" s="142" t="s">
        <v>183</v>
      </c>
      <c r="D77" s="79">
        <f t="shared" si="4"/>
        <v>238401</v>
      </c>
      <c r="E77" s="354">
        <f t="shared" si="5"/>
        <v>238401</v>
      </c>
      <c r="F77" s="79">
        <f>176801+11109</f>
        <v>187910</v>
      </c>
      <c r="G77" s="79">
        <v>50491</v>
      </c>
      <c r="H77" s="79">
        <v>0</v>
      </c>
      <c r="I77" s="79">
        <v>0</v>
      </c>
      <c r="J77" s="354">
        <v>0</v>
      </c>
    </row>
    <row r="78" spans="1:10" ht="13.5" thickBot="1">
      <c r="A78" s="141"/>
      <c r="B78" s="141">
        <v>85410</v>
      </c>
      <c r="C78" s="142" t="s">
        <v>115</v>
      </c>
      <c r="D78" s="79">
        <f t="shared" si="4"/>
        <v>239400</v>
      </c>
      <c r="E78" s="354">
        <f t="shared" si="5"/>
        <v>239400</v>
      </c>
      <c r="F78" s="79">
        <f>138333+24443</f>
        <v>162776</v>
      </c>
      <c r="G78" s="79">
        <f>76624</f>
        <v>76624</v>
      </c>
      <c r="H78" s="79">
        <v>0</v>
      </c>
      <c r="I78" s="79">
        <v>0</v>
      </c>
      <c r="J78" s="354">
        <v>0</v>
      </c>
    </row>
    <row r="79" spans="1:10" ht="30.75" customHeight="1" thickBot="1" thickTop="1">
      <c r="A79" s="147">
        <v>921</v>
      </c>
      <c r="B79" s="147"/>
      <c r="C79" s="148" t="s">
        <v>25</v>
      </c>
      <c r="D79" s="53">
        <f t="shared" si="4"/>
        <v>42000</v>
      </c>
      <c r="E79" s="349">
        <f t="shared" si="5"/>
        <v>42000</v>
      </c>
      <c r="F79" s="53">
        <f>F80+F81</f>
        <v>0</v>
      </c>
      <c r="G79" s="53">
        <f>G80+G81</f>
        <v>18000</v>
      </c>
      <c r="H79" s="53">
        <f>H80+H81</f>
        <v>24000</v>
      </c>
      <c r="I79" s="53">
        <f>I80+I81</f>
        <v>0</v>
      </c>
      <c r="J79" s="349">
        <f>J80+J81</f>
        <v>0</v>
      </c>
    </row>
    <row r="80" spans="1:10" ht="13.5" thickTop="1">
      <c r="A80" s="131"/>
      <c r="B80" s="131">
        <v>92116</v>
      </c>
      <c r="C80" s="133" t="s">
        <v>184</v>
      </c>
      <c r="D80" s="80">
        <f t="shared" si="4"/>
        <v>24000</v>
      </c>
      <c r="E80" s="361">
        <f t="shared" si="5"/>
        <v>24000</v>
      </c>
      <c r="F80" s="80">
        <v>0</v>
      </c>
      <c r="G80" s="80">
        <v>0</v>
      </c>
      <c r="H80" s="80">
        <v>24000</v>
      </c>
      <c r="I80" s="80">
        <v>0</v>
      </c>
      <c r="J80" s="361">
        <v>0</v>
      </c>
    </row>
    <row r="81" spans="1:10" ht="13.5" thickBot="1">
      <c r="A81" s="137"/>
      <c r="B81" s="137">
        <v>92195</v>
      </c>
      <c r="C81" s="138" t="s">
        <v>162</v>
      </c>
      <c r="D81" s="83">
        <f t="shared" si="4"/>
        <v>18000</v>
      </c>
      <c r="E81" s="355">
        <f t="shared" si="5"/>
        <v>18000</v>
      </c>
      <c r="F81" s="83">
        <v>0</v>
      </c>
      <c r="G81" s="83">
        <v>18000</v>
      </c>
      <c r="H81" s="83">
        <v>0</v>
      </c>
      <c r="I81" s="83">
        <v>0</v>
      </c>
      <c r="J81" s="355">
        <v>0</v>
      </c>
    </row>
    <row r="82" spans="1:10" ht="14.25" thickBot="1" thickTop="1">
      <c r="A82" s="129">
        <v>926</v>
      </c>
      <c r="B82" s="129"/>
      <c r="C82" s="134" t="s">
        <v>26</v>
      </c>
      <c r="D82" s="53">
        <f t="shared" si="4"/>
        <v>90000</v>
      </c>
      <c r="E82" s="349">
        <f t="shared" si="5"/>
        <v>90000</v>
      </c>
      <c r="F82" s="53">
        <f>F83</f>
        <v>0</v>
      </c>
      <c r="G82" s="53">
        <f>G83</f>
        <v>90000</v>
      </c>
      <c r="H82" s="53">
        <f>H83</f>
        <v>0</v>
      </c>
      <c r="I82" s="53">
        <f>I83</f>
        <v>0</v>
      </c>
      <c r="J82" s="349">
        <f>J830</f>
        <v>0</v>
      </c>
    </row>
    <row r="83" spans="1:10" ht="14.25" thickBot="1" thickTop="1">
      <c r="A83" s="131"/>
      <c r="B83" s="131">
        <v>92695</v>
      </c>
      <c r="C83" s="133" t="s">
        <v>162</v>
      </c>
      <c r="D83" s="80">
        <f t="shared" si="4"/>
        <v>90000</v>
      </c>
      <c r="E83" s="361">
        <f t="shared" si="5"/>
        <v>90000</v>
      </c>
      <c r="F83" s="80">
        <v>0</v>
      </c>
      <c r="G83" s="80">
        <v>90000</v>
      </c>
      <c r="H83" s="80">
        <v>0</v>
      </c>
      <c r="I83" s="80">
        <v>0</v>
      </c>
      <c r="J83" s="361">
        <v>0</v>
      </c>
    </row>
    <row r="84" spans="1:10" ht="13.5" thickBot="1">
      <c r="A84" s="538" t="s">
        <v>185</v>
      </c>
      <c r="B84" s="538"/>
      <c r="C84" s="538"/>
      <c r="D84" s="326">
        <f aca="true" t="shared" si="6" ref="D84:J84">D74+D69+D63+D60+D49+D44+D42+D39+D33+D27+D25+D20+D16+D14+D23+D79+D82+D18</f>
        <v>32771187</v>
      </c>
      <c r="E84" s="429">
        <f t="shared" si="6"/>
        <v>31678089</v>
      </c>
      <c r="F84" s="326">
        <f t="shared" si="6"/>
        <v>17676019</v>
      </c>
      <c r="G84" s="326">
        <f t="shared" si="6"/>
        <v>10198276</v>
      </c>
      <c r="H84" s="326">
        <f t="shared" si="6"/>
        <v>2683794</v>
      </c>
      <c r="I84" s="326">
        <f t="shared" si="6"/>
        <v>1120000</v>
      </c>
      <c r="J84" s="429">
        <f t="shared" si="6"/>
        <v>1093098</v>
      </c>
    </row>
    <row r="86" spans="4:5" ht="12.75">
      <c r="D86" s="439">
        <f>SUM(E84+J84)</f>
        <v>32771187</v>
      </c>
      <c r="E86" s="439">
        <f>SUM(F84:I84)</f>
        <v>31678089</v>
      </c>
    </row>
    <row r="87" ht="12.75">
      <c r="D87" s="311"/>
    </row>
  </sheetData>
  <sheetProtection/>
  <mergeCells count="13">
    <mergeCell ref="A5:J5"/>
    <mergeCell ref="A6:J6"/>
    <mergeCell ref="A7:J7"/>
    <mergeCell ref="A9:A12"/>
    <mergeCell ref="B9:B12"/>
    <mergeCell ref="C9:C12"/>
    <mergeCell ref="D9:D12"/>
    <mergeCell ref="A84:C84"/>
    <mergeCell ref="E9:J9"/>
    <mergeCell ref="E10:I10"/>
    <mergeCell ref="J10:J12"/>
    <mergeCell ref="E11:E12"/>
    <mergeCell ref="F11:I11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2" r:id="rId1"/>
  <rowBreaks count="2" manualBreakCount="2">
    <brk id="36" max="255" man="1"/>
    <brk id="6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zoomScalePageLayoutView="0" workbookViewId="0" topLeftCell="A1">
      <selection activeCell="N53" sqref="N53"/>
    </sheetView>
  </sheetViews>
  <sheetFormatPr defaultColWidth="9.00390625" defaultRowHeight="12.75"/>
  <cols>
    <col min="1" max="1" width="7.875" style="0" customWidth="1"/>
    <col min="2" max="2" width="9.875" style="0" customWidth="1"/>
    <col min="3" max="3" width="45.75390625" style="0" bestFit="1" customWidth="1"/>
    <col min="4" max="4" width="12.125" style="0" customWidth="1"/>
    <col min="5" max="5" width="12.00390625" style="0" bestFit="1" customWidth="1"/>
    <col min="6" max="6" width="13.00390625" style="0" customWidth="1"/>
    <col min="7" max="8" width="10.875" style="0" bestFit="1" customWidth="1"/>
    <col min="9" max="9" width="10.375" style="0" customWidth="1"/>
    <col min="10" max="10" width="11.375" style="0" customWidth="1"/>
  </cols>
  <sheetData>
    <row r="1" spans="6:9" ht="12.75">
      <c r="F1" s="44"/>
      <c r="G1" s="44"/>
      <c r="H1" s="44"/>
      <c r="I1" t="s">
        <v>186</v>
      </c>
    </row>
    <row r="2" spans="6:9" ht="12.75">
      <c r="F2" s="44"/>
      <c r="G2" s="44"/>
      <c r="H2" s="44"/>
      <c r="I2" s="10" t="s">
        <v>315</v>
      </c>
    </row>
    <row r="3" spans="6:9" ht="12.75">
      <c r="F3" s="44"/>
      <c r="G3" s="44"/>
      <c r="H3" s="44"/>
      <c r="I3" s="10" t="s">
        <v>21</v>
      </c>
    </row>
    <row r="4" spans="6:9" ht="12.75">
      <c r="F4" s="44"/>
      <c r="G4" s="44"/>
      <c r="H4" s="44"/>
      <c r="I4" s="11" t="s">
        <v>316</v>
      </c>
    </row>
    <row r="5" spans="6:8" ht="12.75">
      <c r="F5" s="44"/>
      <c r="G5" s="44"/>
      <c r="H5" s="44"/>
    </row>
    <row r="6" spans="1:10" ht="15.75" customHeight="1">
      <c r="A6" s="551" t="s">
        <v>146</v>
      </c>
      <c r="B6" s="548"/>
      <c r="C6" s="548"/>
      <c r="D6" s="548"/>
      <c r="E6" s="548"/>
      <c r="F6" s="548"/>
      <c r="G6" s="548"/>
      <c r="H6" s="548"/>
      <c r="I6" s="548"/>
      <c r="J6" s="548"/>
    </row>
    <row r="7" spans="1:10" ht="15.75" customHeight="1">
      <c r="A7" s="551" t="s">
        <v>274</v>
      </c>
      <c r="B7" s="548"/>
      <c r="C7" s="548"/>
      <c r="D7" s="548"/>
      <c r="E7" s="548"/>
      <c r="F7" s="548"/>
      <c r="G7" s="548"/>
      <c r="H7" s="548"/>
      <c r="I7" s="548"/>
      <c r="J7" s="548"/>
    </row>
    <row r="8" spans="6:10" ht="15.75" customHeight="1">
      <c r="F8" s="44"/>
      <c r="G8" s="44"/>
      <c r="H8" s="44"/>
      <c r="J8" s="95" t="s">
        <v>32</v>
      </c>
    </row>
    <row r="9" spans="1:10" ht="18" customHeight="1">
      <c r="A9" s="552" t="s">
        <v>0</v>
      </c>
      <c r="B9" s="552" t="s">
        <v>147</v>
      </c>
      <c r="C9" s="553" t="s">
        <v>36</v>
      </c>
      <c r="D9" s="553" t="s">
        <v>148</v>
      </c>
      <c r="E9" s="554" t="s">
        <v>187</v>
      </c>
      <c r="F9" s="555"/>
      <c r="G9" s="555"/>
      <c r="H9" s="555"/>
      <c r="I9" s="555"/>
      <c r="J9" s="556"/>
    </row>
    <row r="10" spans="1:10" ht="16.5" customHeight="1">
      <c r="A10" s="552"/>
      <c r="B10" s="552"/>
      <c r="C10" s="553"/>
      <c r="D10" s="553"/>
      <c r="E10" s="552" t="s">
        <v>150</v>
      </c>
      <c r="F10" s="552"/>
      <c r="G10" s="552"/>
      <c r="H10" s="552"/>
      <c r="I10" s="552"/>
      <c r="J10" s="543" t="s">
        <v>188</v>
      </c>
    </row>
    <row r="11" spans="1:10" ht="12.75">
      <c r="A11" s="552"/>
      <c r="B11" s="552"/>
      <c r="C11" s="553"/>
      <c r="D11" s="553"/>
      <c r="E11" s="557" t="s">
        <v>15</v>
      </c>
      <c r="F11" s="558" t="s">
        <v>189</v>
      </c>
      <c r="G11" s="558"/>
      <c r="H11" s="558"/>
      <c r="I11" s="558"/>
      <c r="J11" s="543"/>
    </row>
    <row r="12" spans="1:10" ht="36">
      <c r="A12" s="552"/>
      <c r="B12" s="552"/>
      <c r="C12" s="553"/>
      <c r="D12" s="553"/>
      <c r="E12" s="557"/>
      <c r="F12" s="126" t="s">
        <v>190</v>
      </c>
      <c r="G12" s="126" t="s">
        <v>191</v>
      </c>
      <c r="H12" s="150" t="s">
        <v>154</v>
      </c>
      <c r="I12" s="149" t="s">
        <v>155</v>
      </c>
      <c r="J12" s="543"/>
    </row>
    <row r="13" spans="1:10" ht="13.5" thickBot="1">
      <c r="A13" s="151">
        <v>1</v>
      </c>
      <c r="B13" s="151">
        <v>2</v>
      </c>
      <c r="C13" s="151">
        <v>3</v>
      </c>
      <c r="D13" s="151">
        <v>4</v>
      </c>
      <c r="E13" s="366">
        <v>5</v>
      </c>
      <c r="F13" s="152">
        <v>6</v>
      </c>
      <c r="G13" s="152">
        <v>7</v>
      </c>
      <c r="H13" s="152">
        <v>8</v>
      </c>
      <c r="I13" s="151">
        <v>10</v>
      </c>
      <c r="J13" s="366">
        <v>11</v>
      </c>
    </row>
    <row r="14" spans="1:10" ht="14.25" thickBot="1" thickTop="1">
      <c r="A14" s="387" t="s">
        <v>23</v>
      </c>
      <c r="B14" s="154"/>
      <c r="C14" s="155" t="s">
        <v>6</v>
      </c>
      <c r="D14" s="156">
        <f aca="true" t="shared" si="0" ref="D14:D39">E14+J14</f>
        <v>19500</v>
      </c>
      <c r="E14" s="349">
        <f>F14+G14+H14+I14</f>
        <v>19500</v>
      </c>
      <c r="F14" s="53">
        <f>F15</f>
        <v>0</v>
      </c>
      <c r="G14" s="53">
        <f>G15</f>
        <v>19500</v>
      </c>
      <c r="H14" s="53">
        <f>H15</f>
        <v>0</v>
      </c>
      <c r="I14" s="53">
        <f>I15</f>
        <v>0</v>
      </c>
      <c r="J14" s="416">
        <f>J15</f>
        <v>0</v>
      </c>
    </row>
    <row r="15" spans="1:10" ht="14.25" thickBot="1" thickTop="1">
      <c r="A15" s="157"/>
      <c r="B15" s="106" t="s">
        <v>192</v>
      </c>
      <c r="C15" s="158" t="s">
        <v>159</v>
      </c>
      <c r="D15" s="159">
        <f t="shared" si="0"/>
        <v>19500</v>
      </c>
      <c r="E15" s="350">
        <f>F15+G15+H15+I15+J15</f>
        <v>19500</v>
      </c>
      <c r="F15" s="57">
        <v>0</v>
      </c>
      <c r="G15" s="57">
        <v>19500</v>
      </c>
      <c r="H15" s="57">
        <v>0</v>
      </c>
      <c r="I15" s="159">
        <v>0</v>
      </c>
      <c r="J15" s="350">
        <v>0</v>
      </c>
    </row>
    <row r="16" spans="1:10" ht="14.25" thickBot="1" thickTop="1">
      <c r="A16" s="129">
        <v>150</v>
      </c>
      <c r="B16" s="129"/>
      <c r="C16" s="134" t="s">
        <v>297</v>
      </c>
      <c r="D16" s="53">
        <f t="shared" si="0"/>
        <v>329202</v>
      </c>
      <c r="E16" s="349">
        <f>F16+G16+H16+I16</f>
        <v>329202</v>
      </c>
      <c r="F16" s="53">
        <f>F17</f>
        <v>37100</v>
      </c>
      <c r="G16" s="85">
        <f>G17</f>
        <v>292102</v>
      </c>
      <c r="H16" s="53">
        <f>H17</f>
        <v>0</v>
      </c>
      <c r="I16" s="53">
        <v>0</v>
      </c>
      <c r="J16" s="349">
        <f>J17</f>
        <v>0</v>
      </c>
    </row>
    <row r="17" spans="1:10" ht="27" thickBot="1" thickTop="1">
      <c r="A17" s="131"/>
      <c r="B17" s="131">
        <v>15013</v>
      </c>
      <c r="C17" s="56" t="s">
        <v>298</v>
      </c>
      <c r="D17" s="80">
        <f t="shared" si="0"/>
        <v>329202</v>
      </c>
      <c r="E17" s="361">
        <f>F17+G17+H17</f>
        <v>329202</v>
      </c>
      <c r="F17" s="80">
        <f>37100</f>
        <v>37100</v>
      </c>
      <c r="G17" s="80">
        <f>292102</f>
        <v>292102</v>
      </c>
      <c r="H17" s="80">
        <v>0</v>
      </c>
      <c r="I17" s="80">
        <v>0</v>
      </c>
      <c r="J17" s="361"/>
    </row>
    <row r="18" spans="1:10" ht="14.25" thickBot="1" thickTop="1">
      <c r="A18" s="153">
        <v>600</v>
      </c>
      <c r="B18" s="153"/>
      <c r="C18" s="155" t="s">
        <v>7</v>
      </c>
      <c r="D18" s="156">
        <f t="shared" si="0"/>
        <v>2200000</v>
      </c>
      <c r="E18" s="349">
        <f>F18+G18+H18+I18</f>
        <v>1711250</v>
      </c>
      <c r="F18" s="53">
        <f>F19+F20</f>
        <v>546000</v>
      </c>
      <c r="G18" s="53">
        <f>G19+G20</f>
        <v>1145250</v>
      </c>
      <c r="H18" s="53">
        <f>H19+H20</f>
        <v>20000</v>
      </c>
      <c r="I18" s="53">
        <f>I19+I20</f>
        <v>0</v>
      </c>
      <c r="J18" s="416">
        <f>J19+J20</f>
        <v>488750</v>
      </c>
    </row>
    <row r="19" spans="1:10" ht="13.5" thickTop="1">
      <c r="A19" s="46"/>
      <c r="B19" s="46">
        <v>60014</v>
      </c>
      <c r="C19" s="161" t="s">
        <v>160</v>
      </c>
      <c r="D19" s="162">
        <f t="shared" si="0"/>
        <v>2180000</v>
      </c>
      <c r="E19" s="368">
        <f>F19+G19+H19+I19</f>
        <v>1691250</v>
      </c>
      <c r="F19" s="162">
        <f>376139+65896+103965</f>
        <v>546000</v>
      </c>
      <c r="G19" s="162">
        <f>1413250-268000</f>
        <v>1145250</v>
      </c>
      <c r="H19" s="162">
        <v>0</v>
      </c>
      <c r="I19" s="162">
        <v>0</v>
      </c>
      <c r="J19" s="368">
        <f>288750+200000</f>
        <v>488750</v>
      </c>
    </row>
    <row r="20" spans="1:10" ht="13.5" thickBot="1">
      <c r="A20" s="495"/>
      <c r="B20" s="495">
        <v>60016</v>
      </c>
      <c r="C20" s="412" t="s">
        <v>313</v>
      </c>
      <c r="D20" s="476">
        <f t="shared" si="0"/>
        <v>20000</v>
      </c>
      <c r="E20" s="499">
        <f>F20+G20+H20</f>
        <v>20000</v>
      </c>
      <c r="F20" s="476">
        <v>0</v>
      </c>
      <c r="G20" s="476">
        <v>0</v>
      </c>
      <c r="H20" s="476">
        <v>20000</v>
      </c>
      <c r="I20" s="476">
        <v>0</v>
      </c>
      <c r="J20" s="499">
        <v>0</v>
      </c>
    </row>
    <row r="21" spans="1:10" ht="14.25" thickBot="1" thickTop="1">
      <c r="A21" s="153">
        <v>630</v>
      </c>
      <c r="B21" s="153"/>
      <c r="C21" s="155" t="s">
        <v>161</v>
      </c>
      <c r="D21" s="156">
        <f t="shared" si="0"/>
        <v>20000</v>
      </c>
      <c r="E21" s="349">
        <f aca="true" t="shared" si="1" ref="E21:E45">F21+G21+H21+I21</f>
        <v>20000</v>
      </c>
      <c r="F21" s="53">
        <f>F22</f>
        <v>0</v>
      </c>
      <c r="G21" s="53">
        <f>G22</f>
        <v>20000</v>
      </c>
      <c r="H21" s="53">
        <f>H22</f>
        <v>0</v>
      </c>
      <c r="I21" s="156">
        <f>I22</f>
        <v>0</v>
      </c>
      <c r="J21" s="349">
        <f>J22</f>
        <v>0</v>
      </c>
    </row>
    <row r="22" spans="1:10" ht="14.25" thickBot="1" thickTop="1">
      <c r="A22" s="46"/>
      <c r="B22" s="46">
        <v>63095</v>
      </c>
      <c r="C22" s="161" t="s">
        <v>162</v>
      </c>
      <c r="D22" s="162">
        <f t="shared" si="0"/>
        <v>20000</v>
      </c>
      <c r="E22" s="368">
        <f t="shared" si="1"/>
        <v>20000</v>
      </c>
      <c r="F22" s="162">
        <v>0</v>
      </c>
      <c r="G22" s="162">
        <v>20000</v>
      </c>
      <c r="H22" s="162">
        <v>0</v>
      </c>
      <c r="I22" s="162">
        <v>0</v>
      </c>
      <c r="J22" s="368">
        <v>0</v>
      </c>
    </row>
    <row r="23" spans="1:10" ht="14.25" thickBot="1" thickTop="1">
      <c r="A23" s="129">
        <v>700</v>
      </c>
      <c r="B23" s="129"/>
      <c r="C23" s="134" t="s">
        <v>8</v>
      </c>
      <c r="D23" s="53">
        <f t="shared" si="0"/>
        <v>30000</v>
      </c>
      <c r="E23" s="349">
        <f t="shared" si="1"/>
        <v>30000</v>
      </c>
      <c r="F23" s="53">
        <v>0</v>
      </c>
      <c r="G23" s="85">
        <f>G24</f>
        <v>30000</v>
      </c>
      <c r="H23" s="53">
        <v>0</v>
      </c>
      <c r="I23" s="53">
        <v>0</v>
      </c>
      <c r="J23" s="349">
        <v>0</v>
      </c>
    </row>
    <row r="24" spans="1:10" ht="14.25" thickBot="1" thickTop="1">
      <c r="A24" s="139"/>
      <c r="B24" s="139">
        <v>70005</v>
      </c>
      <c r="C24" s="140" t="s">
        <v>50</v>
      </c>
      <c r="D24" s="82">
        <f t="shared" si="0"/>
        <v>30000</v>
      </c>
      <c r="E24" s="362">
        <f t="shared" si="1"/>
        <v>30000</v>
      </c>
      <c r="F24" s="82">
        <v>0</v>
      </c>
      <c r="G24" s="82">
        <f>40000-10000</f>
        <v>30000</v>
      </c>
      <c r="H24" s="82">
        <v>0</v>
      </c>
      <c r="I24" s="82">
        <v>0</v>
      </c>
      <c r="J24" s="362">
        <v>0</v>
      </c>
    </row>
    <row r="25" spans="1:10" s="44" customFormat="1" ht="14.25" thickBot="1" thickTop="1">
      <c r="A25" s="129">
        <v>710</v>
      </c>
      <c r="B25" s="129"/>
      <c r="C25" s="134" t="s">
        <v>9</v>
      </c>
      <c r="D25" s="53">
        <f t="shared" si="0"/>
        <v>94000</v>
      </c>
      <c r="E25" s="349">
        <f t="shared" si="1"/>
        <v>94000</v>
      </c>
      <c r="F25" s="53">
        <f>SUM(F27+F26)</f>
        <v>0</v>
      </c>
      <c r="G25" s="53">
        <f>SUM(G27+G26)</f>
        <v>2000</v>
      </c>
      <c r="H25" s="53">
        <f>SUM(H27+H26)</f>
        <v>92000</v>
      </c>
      <c r="I25" s="53">
        <f>SUM(I27+I26)</f>
        <v>0</v>
      </c>
      <c r="J25" s="349">
        <f>SUM(J27+J26)</f>
        <v>0</v>
      </c>
    </row>
    <row r="26" spans="1:10" ht="26.25" customHeight="1" thickTop="1">
      <c r="A26" s="131"/>
      <c r="B26" s="131">
        <v>71012</v>
      </c>
      <c r="C26" s="133" t="s">
        <v>163</v>
      </c>
      <c r="D26" s="80">
        <f t="shared" si="0"/>
        <v>92000</v>
      </c>
      <c r="E26" s="361">
        <f t="shared" si="1"/>
        <v>92000</v>
      </c>
      <c r="F26" s="80">
        <v>0</v>
      </c>
      <c r="G26" s="80">
        <v>0</v>
      </c>
      <c r="H26" s="80">
        <v>92000</v>
      </c>
      <c r="I26" s="80">
        <v>0</v>
      </c>
      <c r="J26" s="361">
        <v>0</v>
      </c>
    </row>
    <row r="27" spans="1:10" s="44" customFormat="1" ht="13.5" thickBot="1">
      <c r="A27" s="131"/>
      <c r="B27" s="131">
        <v>71095</v>
      </c>
      <c r="C27" s="133" t="s">
        <v>162</v>
      </c>
      <c r="D27" s="80">
        <f t="shared" si="0"/>
        <v>2000</v>
      </c>
      <c r="E27" s="361">
        <f t="shared" si="1"/>
        <v>2000</v>
      </c>
      <c r="F27" s="80">
        <v>0</v>
      </c>
      <c r="G27" s="80">
        <v>2000</v>
      </c>
      <c r="H27" s="80">
        <v>0</v>
      </c>
      <c r="I27" s="80">
        <v>0</v>
      </c>
      <c r="J27" s="361">
        <v>0</v>
      </c>
    </row>
    <row r="28" spans="1:10" ht="14.25" thickBot="1" thickTop="1">
      <c r="A28" s="129">
        <v>750</v>
      </c>
      <c r="B28" s="129"/>
      <c r="C28" s="134" t="s">
        <v>56</v>
      </c>
      <c r="D28" s="53">
        <f t="shared" si="0"/>
        <v>4330834</v>
      </c>
      <c r="E28" s="349">
        <f t="shared" si="1"/>
        <v>4330834</v>
      </c>
      <c r="F28" s="53">
        <f>F29+F30+F31</f>
        <v>2786068</v>
      </c>
      <c r="G28" s="53">
        <f>G29+G30+G31</f>
        <v>1544766</v>
      </c>
      <c r="H28" s="53">
        <f>H29+H30+H31</f>
        <v>0</v>
      </c>
      <c r="I28" s="53">
        <f>I29+I30+I31</f>
        <v>0</v>
      </c>
      <c r="J28" s="349">
        <f>J29+J30+J31</f>
        <v>0</v>
      </c>
    </row>
    <row r="29" spans="1:10" ht="27.75" customHeight="1" thickTop="1">
      <c r="A29" s="327"/>
      <c r="B29" s="327">
        <v>75019</v>
      </c>
      <c r="C29" s="328" t="s">
        <v>165</v>
      </c>
      <c r="D29" s="163">
        <f t="shared" si="0"/>
        <v>230000</v>
      </c>
      <c r="E29" s="369">
        <f t="shared" si="1"/>
        <v>230000</v>
      </c>
      <c r="F29" s="163">
        <v>0</v>
      </c>
      <c r="G29" s="80">
        <f>234000-4000</f>
        <v>230000</v>
      </c>
      <c r="H29" s="163">
        <v>0</v>
      </c>
      <c r="I29" s="163">
        <v>0</v>
      </c>
      <c r="J29" s="373">
        <v>0</v>
      </c>
    </row>
    <row r="30" spans="1:10" ht="12.75">
      <c r="A30" s="313"/>
      <c r="B30" s="313">
        <v>75020</v>
      </c>
      <c r="C30" s="329" t="s">
        <v>58</v>
      </c>
      <c r="D30" s="160">
        <f t="shared" si="0"/>
        <v>4055834</v>
      </c>
      <c r="E30" s="367">
        <f t="shared" si="1"/>
        <v>4055834</v>
      </c>
      <c r="F30" s="160">
        <f>2369092+415776+1200</f>
        <v>2786068</v>
      </c>
      <c r="G30" s="160">
        <f>1371000+53717+5000-100000-59951</f>
        <v>1269766</v>
      </c>
      <c r="H30" s="160">
        <v>0</v>
      </c>
      <c r="I30" s="160">
        <v>0</v>
      </c>
      <c r="J30" s="367">
        <f>550000-550000</f>
        <v>0</v>
      </c>
    </row>
    <row r="31" spans="1:10" ht="13.5" thickBot="1">
      <c r="A31" s="330"/>
      <c r="B31" s="330">
        <v>75075</v>
      </c>
      <c r="C31" s="331" t="s">
        <v>167</v>
      </c>
      <c r="D31" s="169">
        <f t="shared" si="0"/>
        <v>45000</v>
      </c>
      <c r="E31" s="370">
        <f t="shared" si="1"/>
        <v>45000</v>
      </c>
      <c r="F31" s="169">
        <v>0</v>
      </c>
      <c r="G31" s="169">
        <f>60000-10000-5000</f>
        <v>45000</v>
      </c>
      <c r="H31" s="169">
        <v>0</v>
      </c>
      <c r="I31" s="169">
        <v>0</v>
      </c>
      <c r="J31" s="370">
        <v>0</v>
      </c>
    </row>
    <row r="32" spans="1:10" ht="27" thickBot="1" thickTop="1">
      <c r="A32" s="332">
        <v>754</v>
      </c>
      <c r="B32" s="332"/>
      <c r="C32" s="333" t="s">
        <v>10</v>
      </c>
      <c r="D32" s="78">
        <f t="shared" si="0"/>
        <v>70000</v>
      </c>
      <c r="E32" s="353">
        <f t="shared" si="1"/>
        <v>70000</v>
      </c>
      <c r="F32" s="78">
        <f>SUM(F33)</f>
        <v>0</v>
      </c>
      <c r="G32" s="78">
        <f>SUM(G33)</f>
        <v>70000</v>
      </c>
      <c r="H32" s="78">
        <f>SUM(H33)</f>
        <v>0</v>
      </c>
      <c r="I32" s="78">
        <f>SUM(I33)</f>
        <v>0</v>
      </c>
      <c r="J32" s="353">
        <f>J33</f>
        <v>0</v>
      </c>
    </row>
    <row r="33" spans="1:10" s="44" customFormat="1" ht="14.25" thickBot="1" thickTop="1">
      <c r="A33" s="334"/>
      <c r="B33" s="334">
        <v>75495</v>
      </c>
      <c r="C33" s="335" t="s">
        <v>162</v>
      </c>
      <c r="D33" s="166">
        <f t="shared" si="0"/>
        <v>70000</v>
      </c>
      <c r="E33" s="371">
        <f t="shared" si="1"/>
        <v>70000</v>
      </c>
      <c r="F33" s="166">
        <v>0</v>
      </c>
      <c r="G33" s="167">
        <f>75000-5000</f>
        <v>70000</v>
      </c>
      <c r="H33" s="167">
        <v>0</v>
      </c>
      <c r="I33" s="166">
        <v>0</v>
      </c>
      <c r="J33" s="371">
        <f>40000-40000</f>
        <v>0</v>
      </c>
    </row>
    <row r="34" spans="1:10" s="44" customFormat="1" ht="13.5" thickTop="1">
      <c r="A34" s="477">
        <v>757</v>
      </c>
      <c r="B34" s="477"/>
      <c r="C34" s="478" t="s">
        <v>11</v>
      </c>
      <c r="D34" s="479">
        <f t="shared" si="0"/>
        <v>1120000</v>
      </c>
      <c r="E34" s="480">
        <f t="shared" si="1"/>
        <v>1120000</v>
      </c>
      <c r="F34" s="479">
        <f>SUM(F35)</f>
        <v>0</v>
      </c>
      <c r="G34" s="479">
        <f>SUM(G35)</f>
        <v>0</v>
      </c>
      <c r="H34" s="479">
        <f>SUM(H35)</f>
        <v>0</v>
      </c>
      <c r="I34" s="479">
        <f>SUM(I35)</f>
        <v>1120000</v>
      </c>
      <c r="J34" s="481">
        <f>SUM(J35)</f>
        <v>0</v>
      </c>
    </row>
    <row r="35" spans="1:10" s="44" customFormat="1" ht="24.75" thickBot="1">
      <c r="A35" s="330"/>
      <c r="B35" s="330">
        <v>75702</v>
      </c>
      <c r="C35" s="482" t="s">
        <v>270</v>
      </c>
      <c r="D35" s="169">
        <f t="shared" si="0"/>
        <v>1120000</v>
      </c>
      <c r="E35" s="370">
        <f t="shared" si="1"/>
        <v>1120000</v>
      </c>
      <c r="F35" s="169">
        <v>0</v>
      </c>
      <c r="G35" s="169">
        <v>0</v>
      </c>
      <c r="H35" s="169">
        <v>0</v>
      </c>
      <c r="I35" s="476">
        <f>1122000-2000</f>
        <v>1120000</v>
      </c>
      <c r="J35" s="370">
        <v>0</v>
      </c>
    </row>
    <row r="36" spans="1:10" s="44" customFormat="1" ht="14.25" thickBot="1" thickTop="1">
      <c r="A36" s="332">
        <v>758</v>
      </c>
      <c r="B36" s="332"/>
      <c r="C36" s="336" t="s">
        <v>12</v>
      </c>
      <c r="D36" s="78">
        <f t="shared" si="0"/>
        <v>1405348</v>
      </c>
      <c r="E36" s="500">
        <f t="shared" si="1"/>
        <v>916000</v>
      </c>
      <c r="F36" s="78">
        <f>SUM(F37)</f>
        <v>0</v>
      </c>
      <c r="G36" s="78">
        <f>G37</f>
        <v>916000</v>
      </c>
      <c r="H36" s="78">
        <f>H37</f>
        <v>0</v>
      </c>
      <c r="I36" s="78">
        <f>I37</f>
        <v>0</v>
      </c>
      <c r="J36" s="500">
        <f>J37</f>
        <v>489348</v>
      </c>
    </row>
    <row r="37" spans="1:10" ht="13.5" thickTop="1">
      <c r="A37" s="496"/>
      <c r="B37" s="496">
        <v>75818</v>
      </c>
      <c r="C37" s="487" t="s">
        <v>169</v>
      </c>
      <c r="D37" s="162">
        <f t="shared" si="0"/>
        <v>1405348</v>
      </c>
      <c r="E37" s="501">
        <f t="shared" si="1"/>
        <v>916000</v>
      </c>
      <c r="F37" s="162">
        <f>SUM(F38+F39)</f>
        <v>0</v>
      </c>
      <c r="G37" s="162">
        <f>SUM(G38+G39)</f>
        <v>916000</v>
      </c>
      <c r="H37" s="162">
        <f>SUM(H38+H39)</f>
        <v>0</v>
      </c>
      <c r="I37" s="162">
        <f>SUM(I38+I39)</f>
        <v>0</v>
      </c>
      <c r="J37" s="501">
        <f>SUM(J38+J39)</f>
        <v>489348</v>
      </c>
    </row>
    <row r="38" spans="1:10" ht="12.75">
      <c r="A38" s="168"/>
      <c r="B38" s="168"/>
      <c r="C38" s="497" t="s">
        <v>193</v>
      </c>
      <c r="D38" s="165">
        <f t="shared" si="0"/>
        <v>221000</v>
      </c>
      <c r="E38" s="502">
        <f t="shared" si="1"/>
        <v>221000</v>
      </c>
      <c r="F38" s="165">
        <v>0</v>
      </c>
      <c r="G38" s="165">
        <f>906000-685000</f>
        <v>221000</v>
      </c>
      <c r="H38" s="165">
        <v>0</v>
      </c>
      <c r="I38" s="165">
        <v>0</v>
      </c>
      <c r="J38" s="502">
        <v>0</v>
      </c>
    </row>
    <row r="39" spans="1:10" ht="12.75">
      <c r="A39" s="496"/>
      <c r="B39" s="496"/>
      <c r="C39" s="498" t="s">
        <v>170</v>
      </c>
      <c r="D39" s="162">
        <f t="shared" si="0"/>
        <v>1184348</v>
      </c>
      <c r="E39" s="501">
        <f t="shared" si="1"/>
        <v>695000</v>
      </c>
      <c r="F39" s="162"/>
      <c r="G39" s="162">
        <f>10000+487000+198000</f>
        <v>695000</v>
      </c>
      <c r="H39" s="162">
        <f>SUM(H40)</f>
        <v>0</v>
      </c>
      <c r="I39" s="162">
        <f>SUM(I40)</f>
        <v>0</v>
      </c>
      <c r="J39" s="502">
        <v>489348</v>
      </c>
    </row>
    <row r="40" spans="1:10" ht="24.75" thickBot="1">
      <c r="A40" s="141"/>
      <c r="B40" s="141"/>
      <c r="C40" s="492" t="s">
        <v>171</v>
      </c>
      <c r="D40" s="79">
        <f>E40</f>
        <v>10000</v>
      </c>
      <c r="E40" s="493">
        <f t="shared" si="1"/>
        <v>10000</v>
      </c>
      <c r="F40" s="79">
        <v>0</v>
      </c>
      <c r="G40" s="79">
        <v>10000</v>
      </c>
      <c r="H40" s="79">
        <v>0</v>
      </c>
      <c r="I40" s="79">
        <v>0</v>
      </c>
      <c r="J40" s="493">
        <v>0</v>
      </c>
    </row>
    <row r="41" spans="1:10" ht="14.25" thickBot="1" thickTop="1">
      <c r="A41" s="129">
        <v>801</v>
      </c>
      <c r="B41" s="129"/>
      <c r="C41" s="134" t="s">
        <v>87</v>
      </c>
      <c r="D41" s="53">
        <f>E41+J41</f>
        <v>8742547</v>
      </c>
      <c r="E41" s="349">
        <f t="shared" si="1"/>
        <v>8742547</v>
      </c>
      <c r="F41" s="53">
        <f>F42+F43+F44+F45+F46+F47+F49+F50+F48+F51</f>
        <v>5665283</v>
      </c>
      <c r="G41" s="53">
        <f>G42+G43+G44+G45+G46+G47+G49+G50+G48+G51</f>
        <v>1141905</v>
      </c>
      <c r="H41" s="53">
        <f>H42+H43+H44+H45+H46+H47+H49+H50+H48+H51</f>
        <v>1935359</v>
      </c>
      <c r="I41" s="53">
        <f>I42+I43+I44+I45+I46+I47+I49+I50+I48+I51</f>
        <v>0</v>
      </c>
      <c r="J41" s="416">
        <f>J42+J43+J44+J45+J46+J47+J49+J50+J48+J51</f>
        <v>0</v>
      </c>
    </row>
    <row r="42" spans="1:10" ht="13.5" thickTop="1">
      <c r="A42" s="327"/>
      <c r="B42" s="327">
        <v>80102</v>
      </c>
      <c r="C42" s="337" t="s">
        <v>88</v>
      </c>
      <c r="D42" s="163">
        <f>E42+J42</f>
        <v>384772</v>
      </c>
      <c r="E42" s="369">
        <f t="shared" si="1"/>
        <v>384772</v>
      </c>
      <c r="F42" s="163">
        <f>337760</f>
        <v>337760</v>
      </c>
      <c r="G42" s="163">
        <f>47012</f>
        <v>47012</v>
      </c>
      <c r="H42" s="163">
        <v>0</v>
      </c>
      <c r="I42" s="163">
        <v>0</v>
      </c>
      <c r="J42" s="369">
        <v>0</v>
      </c>
    </row>
    <row r="43" spans="1:10" ht="12.75">
      <c r="A43" s="168"/>
      <c r="B43" s="168">
        <v>80111</v>
      </c>
      <c r="C43" s="314" t="s">
        <v>89</v>
      </c>
      <c r="D43" s="165">
        <f>E43+J43</f>
        <v>399938</v>
      </c>
      <c r="E43" s="372">
        <f t="shared" si="1"/>
        <v>399938</v>
      </c>
      <c r="F43" s="165">
        <f>351723</f>
        <v>351723</v>
      </c>
      <c r="G43" s="165">
        <f>48215</f>
        <v>48215</v>
      </c>
      <c r="H43" s="165">
        <v>0</v>
      </c>
      <c r="I43" s="165">
        <v>0</v>
      </c>
      <c r="J43" s="372">
        <v>0</v>
      </c>
    </row>
    <row r="44" spans="1:10" ht="12.75">
      <c r="A44" s="168"/>
      <c r="B44" s="168">
        <v>80120</v>
      </c>
      <c r="C44" s="314" t="s">
        <v>90</v>
      </c>
      <c r="D44" s="165">
        <f>E44+J44</f>
        <v>2125302</v>
      </c>
      <c r="E44" s="372">
        <f t="shared" si="1"/>
        <v>2125302</v>
      </c>
      <c r="F44" s="165">
        <f>1629359+23180</f>
        <v>1652539</v>
      </c>
      <c r="G44" s="165">
        <f>261324+17242</f>
        <v>278566</v>
      </c>
      <c r="H44" s="165">
        <v>194197</v>
      </c>
      <c r="I44" s="165">
        <v>0</v>
      </c>
      <c r="J44" s="372">
        <v>0</v>
      </c>
    </row>
    <row r="45" spans="1:10" ht="12.75">
      <c r="A45" s="168"/>
      <c r="B45" s="168">
        <v>80123</v>
      </c>
      <c r="C45" s="314" t="s">
        <v>172</v>
      </c>
      <c r="D45" s="165">
        <f>E45+J45</f>
        <v>158678</v>
      </c>
      <c r="E45" s="372">
        <f t="shared" si="1"/>
        <v>158678</v>
      </c>
      <c r="F45" s="165">
        <f>54876+77474</f>
        <v>132350</v>
      </c>
      <c r="G45" s="165">
        <f>7984+18344</f>
        <v>26328</v>
      </c>
      <c r="H45" s="165">
        <v>0</v>
      </c>
      <c r="I45" s="165">
        <v>0</v>
      </c>
      <c r="J45" s="372">
        <v>0</v>
      </c>
    </row>
    <row r="46" spans="1:10" ht="12.75">
      <c r="A46" s="168"/>
      <c r="B46" s="168">
        <v>80130</v>
      </c>
      <c r="C46" s="314" t="s">
        <v>92</v>
      </c>
      <c r="D46" s="165">
        <f>E46</f>
        <v>3421874</v>
      </c>
      <c r="E46" s="372">
        <f>F46+G46+H46</f>
        <v>3421874</v>
      </c>
      <c r="F46" s="165">
        <f>2651575</f>
        <v>2651575</v>
      </c>
      <c r="G46" s="165">
        <f>622934</f>
        <v>622934</v>
      </c>
      <c r="H46" s="165">
        <v>147365</v>
      </c>
      <c r="I46" s="165">
        <v>0</v>
      </c>
      <c r="J46" s="372">
        <v>0</v>
      </c>
    </row>
    <row r="47" spans="1:10" ht="12.75">
      <c r="A47" s="168"/>
      <c r="B47" s="168">
        <v>80134</v>
      </c>
      <c r="C47" s="314" t="s">
        <v>96</v>
      </c>
      <c r="D47" s="165">
        <f aca="true" t="shared" si="2" ref="D47:D59">E47+J47</f>
        <v>548934</v>
      </c>
      <c r="E47" s="372">
        <f aca="true" t="shared" si="3" ref="E47:E59">F47+G47+H47+I47</f>
        <v>548934</v>
      </c>
      <c r="F47" s="165">
        <f>510510</f>
        <v>510510</v>
      </c>
      <c r="G47" s="165">
        <f>38424</f>
        <v>38424</v>
      </c>
      <c r="H47" s="165">
        <v>0</v>
      </c>
      <c r="I47" s="165">
        <v>0</v>
      </c>
      <c r="J47" s="372">
        <v>0</v>
      </c>
    </row>
    <row r="48" spans="1:10" ht="25.5">
      <c r="A48" s="168"/>
      <c r="B48" s="168">
        <v>80140</v>
      </c>
      <c r="C48" s="314" t="s">
        <v>173</v>
      </c>
      <c r="D48" s="165">
        <f t="shared" si="2"/>
        <v>18000</v>
      </c>
      <c r="E48" s="372">
        <f t="shared" si="3"/>
        <v>18000</v>
      </c>
      <c r="F48" s="165">
        <f>7500+1326</f>
        <v>8826</v>
      </c>
      <c r="G48" s="165">
        <f>9174</f>
        <v>9174</v>
      </c>
      <c r="H48" s="165">
        <v>0</v>
      </c>
      <c r="I48" s="165">
        <v>0</v>
      </c>
      <c r="J48" s="372">
        <v>0</v>
      </c>
    </row>
    <row r="49" spans="1:10" ht="12.75">
      <c r="A49" s="168"/>
      <c r="B49" s="168">
        <v>80144</v>
      </c>
      <c r="C49" s="314" t="s">
        <v>194</v>
      </c>
      <c r="D49" s="165">
        <f t="shared" si="2"/>
        <v>1593797</v>
      </c>
      <c r="E49" s="372">
        <f t="shared" si="3"/>
        <v>1593797</v>
      </c>
      <c r="F49" s="165">
        <v>0</v>
      </c>
      <c r="G49" s="165">
        <v>0</v>
      </c>
      <c r="H49" s="165">
        <v>1593797</v>
      </c>
      <c r="I49" s="165">
        <v>0</v>
      </c>
      <c r="J49" s="372">
        <v>0</v>
      </c>
    </row>
    <row r="50" spans="1:10" ht="12.75">
      <c r="A50" s="168"/>
      <c r="B50" s="168">
        <v>80146</v>
      </c>
      <c r="C50" s="314" t="s">
        <v>175</v>
      </c>
      <c r="D50" s="165">
        <f t="shared" si="2"/>
        <v>48500</v>
      </c>
      <c r="E50" s="372">
        <f t="shared" si="3"/>
        <v>48500</v>
      </c>
      <c r="F50" s="165">
        <v>0</v>
      </c>
      <c r="G50" s="165">
        <v>48500</v>
      </c>
      <c r="H50" s="165">
        <v>0</v>
      </c>
      <c r="I50" s="165">
        <v>0</v>
      </c>
      <c r="J50" s="372">
        <v>0</v>
      </c>
    </row>
    <row r="51" spans="1:10" s="44" customFormat="1" ht="13.5" thickBot="1">
      <c r="A51" s="141"/>
      <c r="B51" s="141">
        <v>80195</v>
      </c>
      <c r="C51" s="142" t="s">
        <v>162</v>
      </c>
      <c r="D51" s="79">
        <f t="shared" si="2"/>
        <v>42752</v>
      </c>
      <c r="E51" s="354">
        <f t="shared" si="3"/>
        <v>42752</v>
      </c>
      <c r="F51" s="79">
        <v>20000</v>
      </c>
      <c r="G51" s="79">
        <v>22752</v>
      </c>
      <c r="H51" s="79">
        <v>0</v>
      </c>
      <c r="I51" s="79">
        <v>0</v>
      </c>
      <c r="J51" s="354">
        <v>0</v>
      </c>
    </row>
    <row r="52" spans="1:10" ht="14.25" thickBot="1" thickTop="1">
      <c r="A52" s="129">
        <v>851</v>
      </c>
      <c r="B52" s="129"/>
      <c r="C52" s="134" t="s">
        <v>13</v>
      </c>
      <c r="D52" s="53">
        <f t="shared" si="2"/>
        <v>500000</v>
      </c>
      <c r="E52" s="349">
        <f t="shared" si="3"/>
        <v>500000</v>
      </c>
      <c r="F52" s="53">
        <f>SUM(F53)</f>
        <v>0</v>
      </c>
      <c r="G52" s="53">
        <f>SUM(G53)</f>
        <v>500000</v>
      </c>
      <c r="H52" s="53">
        <f>SUM(H53)</f>
        <v>0</v>
      </c>
      <c r="I52" s="53">
        <f>SUM(I53)</f>
        <v>0</v>
      </c>
      <c r="J52" s="349">
        <f>SUM(J53)</f>
        <v>0</v>
      </c>
    </row>
    <row r="53" spans="1:10" ht="14.25" thickBot="1" thickTop="1">
      <c r="A53" s="327"/>
      <c r="B53" s="327">
        <v>85195</v>
      </c>
      <c r="C53" s="337" t="s">
        <v>162</v>
      </c>
      <c r="D53" s="163">
        <f t="shared" si="2"/>
        <v>500000</v>
      </c>
      <c r="E53" s="369">
        <f t="shared" si="3"/>
        <v>500000</v>
      </c>
      <c r="F53" s="163">
        <v>0</v>
      </c>
      <c r="G53" s="163">
        <v>500000</v>
      </c>
      <c r="H53" s="163">
        <v>0</v>
      </c>
      <c r="I53" s="163">
        <f>SUM(I54:I55)</f>
        <v>0</v>
      </c>
      <c r="J53" s="369">
        <v>0</v>
      </c>
    </row>
    <row r="54" spans="1:10" s="44" customFormat="1" ht="14.25" thickBot="1" thickTop="1">
      <c r="A54" s="129">
        <v>852</v>
      </c>
      <c r="B54" s="129"/>
      <c r="C54" s="134" t="s">
        <v>102</v>
      </c>
      <c r="D54" s="53">
        <f t="shared" si="2"/>
        <v>5515107</v>
      </c>
      <c r="E54" s="349">
        <f t="shared" si="3"/>
        <v>5435107</v>
      </c>
      <c r="F54" s="53">
        <f>F55+F56+F57+F58+F57</f>
        <v>3018433</v>
      </c>
      <c r="G54" s="53">
        <f>G55+G56+G57+G58</f>
        <v>1856405</v>
      </c>
      <c r="H54" s="53">
        <f>H55+H56+H57+H58+H57</f>
        <v>560269</v>
      </c>
      <c r="I54" s="53">
        <f>I55+I56+I57+I58+I57</f>
        <v>0</v>
      </c>
      <c r="J54" s="349">
        <f>J55+J56+J57+J58+J57</f>
        <v>80000</v>
      </c>
    </row>
    <row r="55" spans="1:10" ht="13.5" thickTop="1">
      <c r="A55" s="327"/>
      <c r="B55" s="327">
        <v>85201</v>
      </c>
      <c r="C55" s="337" t="s">
        <v>195</v>
      </c>
      <c r="D55" s="163">
        <f t="shared" si="2"/>
        <v>1931269</v>
      </c>
      <c r="E55" s="369">
        <f t="shared" si="3"/>
        <v>1931269</v>
      </c>
      <c r="F55" s="163">
        <f>809500+141000</f>
        <v>950500</v>
      </c>
      <c r="G55" s="163">
        <f>65000+360500-5000</f>
        <v>420500</v>
      </c>
      <c r="H55" s="163">
        <f>675269-115000</f>
        <v>560269</v>
      </c>
      <c r="I55" s="163">
        <v>0</v>
      </c>
      <c r="J55" s="369">
        <f>120000-120000</f>
        <v>0</v>
      </c>
    </row>
    <row r="56" spans="1:10" ht="12.75">
      <c r="A56" s="168"/>
      <c r="B56" s="168">
        <v>85202</v>
      </c>
      <c r="C56" s="142" t="s">
        <v>196</v>
      </c>
      <c r="D56" s="165">
        <f t="shared" si="2"/>
        <v>2608263</v>
      </c>
      <c r="E56" s="502">
        <f t="shared" si="3"/>
        <v>2528263</v>
      </c>
      <c r="F56" s="165">
        <f>1545852+274506</f>
        <v>1820358</v>
      </c>
      <c r="G56" s="165">
        <f>891319-94100-9314-80000</f>
        <v>707905</v>
      </c>
      <c r="H56" s="165">
        <v>0</v>
      </c>
      <c r="I56" s="165">
        <v>0</v>
      </c>
      <c r="J56" s="502">
        <f>80000</f>
        <v>80000</v>
      </c>
    </row>
    <row r="57" spans="1:10" ht="12.75">
      <c r="A57" s="168"/>
      <c r="B57" s="168">
        <v>85204</v>
      </c>
      <c r="C57" s="314" t="s">
        <v>177</v>
      </c>
      <c r="D57" s="165">
        <f t="shared" si="2"/>
        <v>700000</v>
      </c>
      <c r="E57" s="372">
        <f t="shared" si="3"/>
        <v>700000</v>
      </c>
      <c r="F57" s="165"/>
      <c r="G57" s="165">
        <f>786000-36000-50000</f>
        <v>700000</v>
      </c>
      <c r="H57" s="165">
        <v>0</v>
      </c>
      <c r="I57" s="165">
        <v>0</v>
      </c>
      <c r="J57" s="372">
        <v>0</v>
      </c>
    </row>
    <row r="58" spans="1:10" ht="13.5" thickBot="1">
      <c r="A58" s="313"/>
      <c r="B58" s="313">
        <v>85218</v>
      </c>
      <c r="C58" s="138" t="s">
        <v>178</v>
      </c>
      <c r="D58" s="160">
        <f t="shared" si="2"/>
        <v>275575</v>
      </c>
      <c r="E58" s="367">
        <f t="shared" si="3"/>
        <v>275575</v>
      </c>
      <c r="F58" s="160">
        <f>238873+44215-35513</f>
        <v>247575</v>
      </c>
      <c r="G58" s="160">
        <v>28000</v>
      </c>
      <c r="H58" s="160">
        <v>0</v>
      </c>
      <c r="I58" s="160">
        <v>0</v>
      </c>
      <c r="J58" s="367"/>
    </row>
    <row r="59" spans="1:10" ht="27" thickBot="1" thickTop="1">
      <c r="A59" s="324">
        <v>853</v>
      </c>
      <c r="B59" s="324"/>
      <c r="C59" s="338" t="s">
        <v>18</v>
      </c>
      <c r="D59" s="85">
        <f t="shared" si="2"/>
        <v>1692752</v>
      </c>
      <c r="E59" s="356">
        <f t="shared" si="3"/>
        <v>1692752</v>
      </c>
      <c r="F59" s="85">
        <f>F61+F60+F62</f>
        <v>1408008</v>
      </c>
      <c r="G59" s="85">
        <f>G61+G60+G62</f>
        <v>232578</v>
      </c>
      <c r="H59" s="85">
        <f>H61+H60+H62</f>
        <v>52166</v>
      </c>
      <c r="I59" s="85">
        <f>I61+I60+I62</f>
        <v>0</v>
      </c>
      <c r="J59" s="356">
        <f>J61+J60</f>
        <v>0</v>
      </c>
    </row>
    <row r="60" spans="1:10" ht="26.25" thickTop="1">
      <c r="A60" s="339"/>
      <c r="B60" s="143">
        <v>85311</v>
      </c>
      <c r="C60" s="144" t="s">
        <v>179</v>
      </c>
      <c r="D60" s="145">
        <f>SUM(J60+E60)</f>
        <v>52166</v>
      </c>
      <c r="E60" s="364">
        <f>SUM(F60:I60)</f>
        <v>52166</v>
      </c>
      <c r="F60" s="145">
        <v>0</v>
      </c>
      <c r="G60" s="145">
        <v>0</v>
      </c>
      <c r="H60" s="145">
        <f>82852-30686</f>
        <v>52166</v>
      </c>
      <c r="I60" s="145">
        <v>0</v>
      </c>
      <c r="J60" s="364">
        <v>0</v>
      </c>
    </row>
    <row r="61" spans="1:10" ht="12.75">
      <c r="A61" s="168"/>
      <c r="B61" s="168">
        <v>85333</v>
      </c>
      <c r="C61" s="142" t="s">
        <v>180</v>
      </c>
      <c r="D61" s="165">
        <f aca="true" t="shared" si="4" ref="D61:D72">E61+J61</f>
        <v>1149136</v>
      </c>
      <c r="E61" s="372">
        <f aca="true" t="shared" si="5" ref="E61:E72">F61+G61+H61+I61</f>
        <v>1149136</v>
      </c>
      <c r="F61" s="165">
        <f>900336+156900</f>
        <v>1057236</v>
      </c>
      <c r="G61" s="165">
        <f>91900</f>
        <v>91900</v>
      </c>
      <c r="H61" s="165">
        <v>0</v>
      </c>
      <c r="I61" s="165">
        <v>0</v>
      </c>
      <c r="J61" s="372">
        <v>0</v>
      </c>
    </row>
    <row r="62" spans="1:10" ht="13.5" thickBot="1">
      <c r="A62" s="330"/>
      <c r="B62" s="330">
        <v>85395</v>
      </c>
      <c r="C62" s="412" t="s">
        <v>162</v>
      </c>
      <c r="D62" s="169">
        <f t="shared" si="4"/>
        <v>491450</v>
      </c>
      <c r="E62" s="370">
        <f t="shared" si="5"/>
        <v>491450</v>
      </c>
      <c r="F62" s="169">
        <f>97560+166425+86787</f>
        <v>350772</v>
      </c>
      <c r="G62" s="169">
        <f>69053+71625</f>
        <v>140678</v>
      </c>
      <c r="H62" s="169">
        <v>0</v>
      </c>
      <c r="I62" s="169">
        <v>0</v>
      </c>
      <c r="J62" s="370">
        <v>0</v>
      </c>
    </row>
    <row r="63" spans="1:10" ht="14.25" thickBot="1" thickTop="1">
      <c r="A63" s="332">
        <v>854</v>
      </c>
      <c r="B63" s="332"/>
      <c r="C63" s="336" t="s">
        <v>14</v>
      </c>
      <c r="D63" s="78">
        <f t="shared" si="4"/>
        <v>2112597</v>
      </c>
      <c r="E63" s="353">
        <f t="shared" si="5"/>
        <v>2112597</v>
      </c>
      <c r="F63" s="78">
        <f>F64+F65+F66+F67</f>
        <v>1644618</v>
      </c>
      <c r="G63" s="78">
        <f>G64+G65+G66+G67</f>
        <v>467979</v>
      </c>
      <c r="H63" s="78">
        <f>H64+H65+H66+H67</f>
        <v>0</v>
      </c>
      <c r="I63" s="78">
        <f>I64+I65+I66+I67</f>
        <v>0</v>
      </c>
      <c r="J63" s="353">
        <f>J64+J65+J66+J67</f>
        <v>0</v>
      </c>
    </row>
    <row r="64" spans="1:10" ht="13.5" thickTop="1">
      <c r="A64" s="327"/>
      <c r="B64" s="327">
        <v>85403</v>
      </c>
      <c r="C64" s="337" t="s">
        <v>197</v>
      </c>
      <c r="D64" s="163">
        <f t="shared" si="4"/>
        <v>1186800</v>
      </c>
      <c r="E64" s="369">
        <f t="shared" si="5"/>
        <v>1186800</v>
      </c>
      <c r="F64" s="163">
        <f>893836</f>
        <v>893836</v>
      </c>
      <c r="G64" s="163">
        <f>292964</f>
        <v>292964</v>
      </c>
      <c r="H64" s="163">
        <v>0</v>
      </c>
      <c r="I64" s="163">
        <v>0</v>
      </c>
      <c r="J64" s="369">
        <v>0</v>
      </c>
    </row>
    <row r="65" spans="1:10" ht="25.5">
      <c r="A65" s="168"/>
      <c r="B65" s="168">
        <v>85406</v>
      </c>
      <c r="C65" s="314" t="s">
        <v>198</v>
      </c>
      <c r="D65" s="165">
        <f t="shared" si="4"/>
        <v>447996</v>
      </c>
      <c r="E65" s="372">
        <f t="shared" si="5"/>
        <v>447996</v>
      </c>
      <c r="F65" s="165">
        <f>337606+62490</f>
        <v>400096</v>
      </c>
      <c r="G65" s="165">
        <f>47900</f>
        <v>47900</v>
      </c>
      <c r="H65" s="165">
        <v>0</v>
      </c>
      <c r="I65" s="165">
        <v>0</v>
      </c>
      <c r="J65" s="372">
        <v>0</v>
      </c>
    </row>
    <row r="66" spans="1:10" ht="12.75">
      <c r="A66" s="168"/>
      <c r="B66" s="168">
        <v>85407</v>
      </c>
      <c r="C66" s="314" t="s">
        <v>199</v>
      </c>
      <c r="D66" s="165">
        <f t="shared" si="4"/>
        <v>238401</v>
      </c>
      <c r="E66" s="372">
        <f t="shared" si="5"/>
        <v>238401</v>
      </c>
      <c r="F66" s="165">
        <f>176801+11109</f>
        <v>187910</v>
      </c>
      <c r="G66" s="165">
        <f>50491</f>
        <v>50491</v>
      </c>
      <c r="H66" s="165">
        <v>0</v>
      </c>
      <c r="I66" s="165">
        <v>0</v>
      </c>
      <c r="J66" s="372">
        <v>0</v>
      </c>
    </row>
    <row r="67" spans="1:10" ht="13.5" thickBot="1">
      <c r="A67" s="313"/>
      <c r="B67" s="313">
        <v>85410</v>
      </c>
      <c r="C67" s="340" t="s">
        <v>115</v>
      </c>
      <c r="D67" s="160">
        <f t="shared" si="4"/>
        <v>239400</v>
      </c>
      <c r="E67" s="367">
        <f t="shared" si="5"/>
        <v>239400</v>
      </c>
      <c r="F67" s="160">
        <f>138333+24443</f>
        <v>162776</v>
      </c>
      <c r="G67" s="160">
        <f>76624</f>
        <v>76624</v>
      </c>
      <c r="H67" s="160">
        <v>0</v>
      </c>
      <c r="I67" s="160">
        <v>0</v>
      </c>
      <c r="J67" s="367">
        <v>0</v>
      </c>
    </row>
    <row r="68" spans="1:10" ht="27" thickBot="1" thickTop="1">
      <c r="A68" s="147">
        <v>921</v>
      </c>
      <c r="B68" s="147"/>
      <c r="C68" s="148" t="s">
        <v>25</v>
      </c>
      <c r="D68" s="53">
        <f t="shared" si="4"/>
        <v>42000</v>
      </c>
      <c r="E68" s="349">
        <f t="shared" si="5"/>
        <v>42000</v>
      </c>
      <c r="F68" s="53">
        <f>F69+F70</f>
        <v>0</v>
      </c>
      <c r="G68" s="53">
        <f>G69+G70</f>
        <v>18000</v>
      </c>
      <c r="H68" s="53">
        <f>H69+H70</f>
        <v>24000</v>
      </c>
      <c r="I68" s="53">
        <f>I69+I70</f>
        <v>0</v>
      </c>
      <c r="J68" s="349">
        <f>J69+J70</f>
        <v>0</v>
      </c>
    </row>
    <row r="69" spans="1:10" ht="13.5" thickTop="1">
      <c r="A69" s="131"/>
      <c r="B69" s="131">
        <v>92116</v>
      </c>
      <c r="C69" s="133" t="s">
        <v>184</v>
      </c>
      <c r="D69" s="80">
        <f t="shared" si="4"/>
        <v>24000</v>
      </c>
      <c r="E69" s="361">
        <f t="shared" si="5"/>
        <v>24000</v>
      </c>
      <c r="F69" s="80">
        <v>0</v>
      </c>
      <c r="G69" s="80">
        <v>0</v>
      </c>
      <c r="H69" s="80">
        <v>24000</v>
      </c>
      <c r="I69" s="80">
        <v>0</v>
      </c>
      <c r="J69" s="361">
        <v>0</v>
      </c>
    </row>
    <row r="70" spans="1:10" ht="13.5" thickBot="1">
      <c r="A70" s="137"/>
      <c r="B70" s="137">
        <v>92195</v>
      </c>
      <c r="C70" s="138" t="s">
        <v>162</v>
      </c>
      <c r="D70" s="83">
        <f t="shared" si="4"/>
        <v>18000</v>
      </c>
      <c r="E70" s="355">
        <f t="shared" si="5"/>
        <v>18000</v>
      </c>
      <c r="F70" s="83">
        <v>0</v>
      </c>
      <c r="G70" s="83">
        <v>18000</v>
      </c>
      <c r="H70" s="83">
        <v>0</v>
      </c>
      <c r="I70" s="83">
        <v>0</v>
      </c>
      <c r="J70" s="355">
        <v>0</v>
      </c>
    </row>
    <row r="71" spans="1:10" ht="14.25" thickBot="1" thickTop="1">
      <c r="A71" s="129">
        <v>926</v>
      </c>
      <c r="B71" s="129"/>
      <c r="C71" s="134" t="s">
        <v>26</v>
      </c>
      <c r="D71" s="53">
        <f t="shared" si="4"/>
        <v>90000</v>
      </c>
      <c r="E71" s="349">
        <f t="shared" si="5"/>
        <v>90000</v>
      </c>
      <c r="F71" s="53">
        <f>F72</f>
        <v>0</v>
      </c>
      <c r="G71" s="53">
        <f>G72</f>
        <v>90000</v>
      </c>
      <c r="H71" s="53">
        <f>H72</f>
        <v>0</v>
      </c>
      <c r="I71" s="53">
        <f>I72</f>
        <v>0</v>
      </c>
      <c r="J71" s="349">
        <f>J818</f>
        <v>0</v>
      </c>
    </row>
    <row r="72" spans="1:10" ht="14.25" thickBot="1" thickTop="1">
      <c r="A72" s="131"/>
      <c r="B72" s="131">
        <v>92695</v>
      </c>
      <c r="C72" s="133" t="s">
        <v>162</v>
      </c>
      <c r="D72" s="80">
        <f t="shared" si="4"/>
        <v>90000</v>
      </c>
      <c r="E72" s="361">
        <f t="shared" si="5"/>
        <v>90000</v>
      </c>
      <c r="F72" s="80">
        <v>0</v>
      </c>
      <c r="G72" s="80">
        <v>90000</v>
      </c>
      <c r="H72" s="80">
        <v>0</v>
      </c>
      <c r="I72" s="80">
        <v>0</v>
      </c>
      <c r="J72" s="361">
        <v>0</v>
      </c>
    </row>
    <row r="73" spans="1:10" ht="13.5" thickBot="1">
      <c r="A73" s="559" t="s">
        <v>185</v>
      </c>
      <c r="B73" s="559"/>
      <c r="C73" s="559"/>
      <c r="D73" s="341">
        <f aca="true" t="shared" si="6" ref="D73:J73">D63+D54+D41+D36+D34+D28+D18+D14+D32+D59+D71+D68+D21+D23+D25+D52+D16</f>
        <v>28313887</v>
      </c>
      <c r="E73" s="503">
        <f t="shared" si="6"/>
        <v>27255789</v>
      </c>
      <c r="F73" s="341">
        <f t="shared" si="6"/>
        <v>15105510</v>
      </c>
      <c r="G73" s="341">
        <f t="shared" si="6"/>
        <v>8346485</v>
      </c>
      <c r="H73" s="341">
        <f t="shared" si="6"/>
        <v>2683794</v>
      </c>
      <c r="I73" s="341">
        <f t="shared" si="6"/>
        <v>1120000</v>
      </c>
      <c r="J73" s="503">
        <f t="shared" si="6"/>
        <v>1058098</v>
      </c>
    </row>
    <row r="75" spans="4:5" ht="12.75">
      <c r="D75" s="439">
        <f>SUM(E73+J73)</f>
        <v>28313887</v>
      </c>
      <c r="E75" s="439">
        <f>SUM(F73:I73)</f>
        <v>27255789</v>
      </c>
    </row>
  </sheetData>
  <sheetProtection/>
  <mergeCells count="12">
    <mergeCell ref="F11:I11"/>
    <mergeCell ref="A73:C73"/>
    <mergeCell ref="A6:J6"/>
    <mergeCell ref="A7:J7"/>
    <mergeCell ref="A9:A12"/>
    <mergeCell ref="B9:B12"/>
    <mergeCell ref="C9:C12"/>
    <mergeCell ref="D9:D12"/>
    <mergeCell ref="E9:J9"/>
    <mergeCell ref="E10:I10"/>
    <mergeCell ref="J10:J12"/>
    <mergeCell ref="E11:E12"/>
  </mergeCells>
  <printOptions horizontalCentered="1"/>
  <pageMargins left="0.7874015748031497" right="0.7874015748031497" top="0.37" bottom="0.25" header="0.62" footer="0.3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PageLayoutView="0" workbookViewId="0" topLeftCell="A1">
      <selection activeCell="G2" sqref="G2:G4"/>
    </sheetView>
  </sheetViews>
  <sheetFormatPr defaultColWidth="9.00390625" defaultRowHeight="12.75"/>
  <cols>
    <col min="2" max="2" width="9.875" style="0" customWidth="1"/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  <col min="8" max="8" width="13.875" style="0" customWidth="1"/>
  </cols>
  <sheetData>
    <row r="1" ht="12.75">
      <c r="G1" t="s">
        <v>200</v>
      </c>
    </row>
    <row r="2" ht="12.75">
      <c r="G2" s="10" t="s">
        <v>315</v>
      </c>
    </row>
    <row r="3" ht="12.75" customHeight="1">
      <c r="G3" s="10" t="s">
        <v>21</v>
      </c>
    </row>
    <row r="4" ht="15.75" customHeight="1">
      <c r="G4" s="11" t="s">
        <v>316</v>
      </c>
    </row>
    <row r="5" ht="15.75" customHeight="1"/>
    <row r="6" spans="1:8" ht="18" customHeight="1">
      <c r="A6" s="551" t="s">
        <v>146</v>
      </c>
      <c r="B6" s="548"/>
      <c r="C6" s="548"/>
      <c r="D6" s="548"/>
      <c r="E6" s="548"/>
      <c r="F6" s="548"/>
      <c r="G6" s="548"/>
      <c r="H6" s="548"/>
    </row>
    <row r="7" spans="1:8" ht="16.5" customHeight="1">
      <c r="A7" s="551" t="s">
        <v>201</v>
      </c>
      <c r="B7" s="548"/>
      <c r="C7" s="548"/>
      <c r="D7" s="548"/>
      <c r="E7" s="548"/>
      <c r="F7" s="548"/>
      <c r="G7" s="548"/>
      <c r="H7" s="548"/>
    </row>
    <row r="8" spans="1:8" ht="15">
      <c r="A8" s="551" t="s">
        <v>275</v>
      </c>
      <c r="B8" s="548"/>
      <c r="C8" s="548"/>
      <c r="D8" s="548"/>
      <c r="E8" s="548"/>
      <c r="F8" s="548"/>
      <c r="G8" s="548"/>
      <c r="H8" s="548"/>
    </row>
    <row r="9" ht="13.5" thickBot="1">
      <c r="H9" s="95" t="s">
        <v>32</v>
      </c>
    </row>
    <row r="10" spans="1:8" ht="13.5" thickBot="1">
      <c r="A10" s="581" t="s">
        <v>0</v>
      </c>
      <c r="B10" s="581" t="s">
        <v>147</v>
      </c>
      <c r="C10" s="565" t="s">
        <v>36</v>
      </c>
      <c r="D10" s="565" t="s">
        <v>148</v>
      </c>
      <c r="E10" s="568" t="s">
        <v>187</v>
      </c>
      <c r="F10" s="569"/>
      <c r="G10" s="569"/>
      <c r="H10" s="570"/>
    </row>
    <row r="11" spans="1:8" ht="13.5" thickBot="1">
      <c r="A11" s="582"/>
      <c r="B11" s="582"/>
      <c r="C11" s="566"/>
      <c r="D11" s="566"/>
      <c r="E11" s="562" t="s">
        <v>150</v>
      </c>
      <c r="F11" s="563"/>
      <c r="G11" s="564"/>
      <c r="H11" s="571" t="s">
        <v>151</v>
      </c>
    </row>
    <row r="12" spans="1:8" ht="12.75">
      <c r="A12" s="582"/>
      <c r="B12" s="582"/>
      <c r="C12" s="566"/>
      <c r="D12" s="566"/>
      <c r="E12" s="574" t="s">
        <v>15</v>
      </c>
      <c r="F12" s="577" t="s">
        <v>189</v>
      </c>
      <c r="G12" s="578"/>
      <c r="H12" s="572"/>
    </row>
    <row r="13" spans="1:8" ht="13.5" thickBot="1">
      <c r="A13" s="582"/>
      <c r="B13" s="582"/>
      <c r="C13" s="566"/>
      <c r="D13" s="566"/>
      <c r="E13" s="575"/>
      <c r="F13" s="579"/>
      <c r="G13" s="580"/>
      <c r="H13" s="572"/>
    </row>
    <row r="14" spans="1:8" ht="36.75" thickBot="1">
      <c r="A14" s="583"/>
      <c r="B14" s="583"/>
      <c r="C14" s="567"/>
      <c r="D14" s="567"/>
      <c r="E14" s="576"/>
      <c r="F14" s="170" t="s">
        <v>190</v>
      </c>
      <c r="G14" s="170" t="s">
        <v>191</v>
      </c>
      <c r="H14" s="573"/>
    </row>
    <row r="15" spans="1:8" ht="13.5" thickBot="1">
      <c r="A15" s="171" t="s">
        <v>202</v>
      </c>
      <c r="B15" s="172" t="s">
        <v>203</v>
      </c>
      <c r="C15" s="173" t="s">
        <v>204</v>
      </c>
      <c r="D15" s="174" t="s">
        <v>205</v>
      </c>
      <c r="E15" s="374" t="s">
        <v>206</v>
      </c>
      <c r="F15" s="173" t="s">
        <v>207</v>
      </c>
      <c r="G15" s="174" t="s">
        <v>208</v>
      </c>
      <c r="H15" s="383" t="s">
        <v>209</v>
      </c>
    </row>
    <row r="16" spans="1:8" ht="13.5" thickBot="1">
      <c r="A16" s="388" t="s">
        <v>22</v>
      </c>
      <c r="B16" s="175"/>
      <c r="C16" s="176" t="s">
        <v>5</v>
      </c>
      <c r="D16" s="177">
        <f>D17+H16</f>
        <v>85000</v>
      </c>
      <c r="E16" s="375">
        <f>F16+G16</f>
        <v>85000</v>
      </c>
      <c r="F16" s="177">
        <f>F17</f>
        <v>0</v>
      </c>
      <c r="G16" s="178">
        <f>G17</f>
        <v>85000</v>
      </c>
      <c r="H16" s="375">
        <f>H17</f>
        <v>0</v>
      </c>
    </row>
    <row r="17" spans="1:8" ht="27" thickBot="1" thickTop="1">
      <c r="A17" s="179"/>
      <c r="B17" s="180" t="s">
        <v>156</v>
      </c>
      <c r="C17" s="181" t="s">
        <v>157</v>
      </c>
      <c r="D17" s="182">
        <f>E17+H17</f>
        <v>85000</v>
      </c>
      <c r="E17" s="376">
        <f>G17+F17</f>
        <v>85000</v>
      </c>
      <c r="F17" s="182">
        <v>0</v>
      </c>
      <c r="G17" s="164">
        <v>85000</v>
      </c>
      <c r="H17" s="376">
        <v>0</v>
      </c>
    </row>
    <row r="18" spans="1:8" ht="21.75" customHeight="1" thickBot="1" thickTop="1">
      <c r="A18" s="183">
        <v>700</v>
      </c>
      <c r="B18" s="183"/>
      <c r="C18" s="184" t="s">
        <v>8</v>
      </c>
      <c r="D18" s="185">
        <f>D19+H19</f>
        <v>12000</v>
      </c>
      <c r="E18" s="377">
        <f>E19</f>
        <v>12000</v>
      </c>
      <c r="F18" s="185">
        <v>0</v>
      </c>
      <c r="G18" s="186">
        <f>G19</f>
        <v>12000</v>
      </c>
      <c r="H18" s="377">
        <v>0</v>
      </c>
    </row>
    <row r="19" spans="1:8" ht="14.25" thickBot="1" thickTop="1">
      <c r="A19" s="187"/>
      <c r="B19" s="187">
        <v>70005</v>
      </c>
      <c r="C19" s="188" t="s">
        <v>50</v>
      </c>
      <c r="D19" s="189">
        <f aca="true" t="shared" si="0" ref="D19:D24">E19+H19</f>
        <v>12000</v>
      </c>
      <c r="E19" s="378">
        <f aca="true" t="shared" si="1" ref="E19:E30">F19+G19</f>
        <v>12000</v>
      </c>
      <c r="F19" s="189">
        <v>0</v>
      </c>
      <c r="G19" s="190">
        <v>12000</v>
      </c>
      <c r="H19" s="378">
        <v>0</v>
      </c>
    </row>
    <row r="20" spans="1:8" ht="14.25" thickBot="1" thickTop="1">
      <c r="A20" s="183">
        <v>710</v>
      </c>
      <c r="B20" s="183"/>
      <c r="C20" s="184" t="s">
        <v>210</v>
      </c>
      <c r="D20" s="185">
        <f t="shared" si="0"/>
        <v>352100</v>
      </c>
      <c r="E20" s="377">
        <f t="shared" si="1"/>
        <v>317100</v>
      </c>
      <c r="F20" s="185">
        <f>F21+F22+F23</f>
        <v>219259</v>
      </c>
      <c r="G20" s="186">
        <f>G21+G22+G23</f>
        <v>97841</v>
      </c>
      <c r="H20" s="377">
        <f>H21+H22+H23</f>
        <v>35000</v>
      </c>
    </row>
    <row r="21" spans="1:8" ht="28.5" customHeight="1" thickTop="1">
      <c r="A21" s="179"/>
      <c r="B21" s="179">
        <v>71013</v>
      </c>
      <c r="C21" s="181" t="s">
        <v>53</v>
      </c>
      <c r="D21" s="182">
        <f t="shared" si="0"/>
        <v>73000</v>
      </c>
      <c r="E21" s="376">
        <f t="shared" si="1"/>
        <v>73000</v>
      </c>
      <c r="F21" s="182">
        <v>0</v>
      </c>
      <c r="G21" s="164">
        <v>73000</v>
      </c>
      <c r="H21" s="376">
        <v>0</v>
      </c>
    </row>
    <row r="22" spans="1:8" ht="12.75">
      <c r="A22" s="191"/>
      <c r="B22" s="191">
        <v>71014</v>
      </c>
      <c r="C22" s="192" t="s">
        <v>54</v>
      </c>
      <c r="D22" s="193">
        <f t="shared" si="0"/>
        <v>18000</v>
      </c>
      <c r="E22" s="379">
        <f t="shared" si="1"/>
        <v>18000</v>
      </c>
      <c r="F22" s="193">
        <v>0</v>
      </c>
      <c r="G22" s="194">
        <v>18000</v>
      </c>
      <c r="H22" s="379">
        <v>0</v>
      </c>
    </row>
    <row r="23" spans="1:8" ht="13.5" thickBot="1">
      <c r="A23" s="195"/>
      <c r="B23" s="195">
        <v>71015</v>
      </c>
      <c r="C23" s="196" t="s">
        <v>164</v>
      </c>
      <c r="D23" s="197">
        <f t="shared" si="0"/>
        <v>261100</v>
      </c>
      <c r="E23" s="380">
        <f t="shared" si="1"/>
        <v>226100</v>
      </c>
      <c r="F23" s="198">
        <f>185013+34246</f>
        <v>219259</v>
      </c>
      <c r="G23" s="199">
        <f>6841</f>
        <v>6841</v>
      </c>
      <c r="H23" s="380">
        <f>35000</f>
        <v>35000</v>
      </c>
    </row>
    <row r="24" spans="1:8" ht="14.25" thickBot="1" thickTop="1">
      <c r="A24" s="183">
        <v>750</v>
      </c>
      <c r="B24" s="183"/>
      <c r="C24" s="184" t="s">
        <v>56</v>
      </c>
      <c r="D24" s="185">
        <f t="shared" si="0"/>
        <v>116200</v>
      </c>
      <c r="E24" s="377">
        <f t="shared" si="1"/>
        <v>116200</v>
      </c>
      <c r="F24" s="200">
        <f>F25+F26</f>
        <v>100700</v>
      </c>
      <c r="G24" s="186">
        <f>G25+G26</f>
        <v>15500</v>
      </c>
      <c r="H24" s="377">
        <f>H25+H26</f>
        <v>0</v>
      </c>
    </row>
    <row r="25" spans="1:8" ht="15.75" customHeight="1" thickTop="1">
      <c r="A25" s="179"/>
      <c r="B25" s="179">
        <v>75011</v>
      </c>
      <c r="C25" s="181" t="s">
        <v>57</v>
      </c>
      <c r="D25" s="182">
        <f>H25+E25</f>
        <v>102200</v>
      </c>
      <c r="E25" s="376">
        <f t="shared" si="1"/>
        <v>102200</v>
      </c>
      <c r="F25" s="201">
        <f>84498+15202</f>
        <v>99700</v>
      </c>
      <c r="G25" s="164">
        <f>2500</f>
        <v>2500</v>
      </c>
      <c r="H25" s="376">
        <v>0</v>
      </c>
    </row>
    <row r="26" spans="1:8" ht="13.5" thickBot="1">
      <c r="A26" s="202"/>
      <c r="B26" s="202">
        <v>75045</v>
      </c>
      <c r="C26" s="203" t="s">
        <v>71</v>
      </c>
      <c r="D26" s="198">
        <f>H26+E26</f>
        <v>14000</v>
      </c>
      <c r="E26" s="380">
        <f>F26+G26</f>
        <v>14000</v>
      </c>
      <c r="F26" s="198">
        <v>1000</v>
      </c>
      <c r="G26" s="199">
        <v>13000</v>
      </c>
      <c r="H26" s="380">
        <v>0</v>
      </c>
    </row>
    <row r="27" spans="1:8" ht="27" thickBot="1" thickTop="1">
      <c r="A27" s="183">
        <v>754</v>
      </c>
      <c r="B27" s="183"/>
      <c r="C27" s="184" t="s">
        <v>10</v>
      </c>
      <c r="D27" s="185">
        <f aca="true" t="shared" si="2" ref="D27:D34">E27+H27</f>
        <v>2767000</v>
      </c>
      <c r="E27" s="377">
        <f t="shared" si="1"/>
        <v>2767000</v>
      </c>
      <c r="F27" s="185">
        <f>F28</f>
        <v>2206743</v>
      </c>
      <c r="G27" s="185">
        <f>G28</f>
        <v>560257</v>
      </c>
      <c r="H27" s="377">
        <f>H28</f>
        <v>0</v>
      </c>
    </row>
    <row r="28" spans="1:8" ht="14.25" thickBot="1" thickTop="1">
      <c r="A28" s="204"/>
      <c r="B28" s="179">
        <v>75411</v>
      </c>
      <c r="C28" s="181" t="s">
        <v>73</v>
      </c>
      <c r="D28" s="205">
        <f t="shared" si="2"/>
        <v>2767000</v>
      </c>
      <c r="E28" s="381">
        <f t="shared" si="1"/>
        <v>2767000</v>
      </c>
      <c r="F28" s="206">
        <f>2192323+14420</f>
        <v>2206743</v>
      </c>
      <c r="G28" s="207">
        <f>560257</f>
        <v>560257</v>
      </c>
      <c r="H28" s="381">
        <v>0</v>
      </c>
    </row>
    <row r="29" spans="1:8" ht="14.25" thickBot="1" thickTop="1">
      <c r="A29" s="183">
        <v>851</v>
      </c>
      <c r="B29" s="183"/>
      <c r="C29" s="184" t="s">
        <v>13</v>
      </c>
      <c r="D29" s="185">
        <f t="shared" si="2"/>
        <v>1068000</v>
      </c>
      <c r="E29" s="377">
        <f t="shared" si="1"/>
        <v>1068000</v>
      </c>
      <c r="F29" s="185">
        <f>F30</f>
        <v>0</v>
      </c>
      <c r="G29" s="186">
        <f>G30</f>
        <v>1068000</v>
      </c>
      <c r="H29" s="377">
        <f>H30</f>
        <v>0</v>
      </c>
    </row>
    <row r="30" spans="1:8" ht="39.75" thickBot="1" thickTop="1">
      <c r="A30" s="187"/>
      <c r="B30" s="187">
        <v>85156</v>
      </c>
      <c r="C30" s="188" t="s">
        <v>211</v>
      </c>
      <c r="D30" s="189">
        <f t="shared" si="2"/>
        <v>1068000</v>
      </c>
      <c r="E30" s="378">
        <f t="shared" si="1"/>
        <v>1068000</v>
      </c>
      <c r="F30" s="189">
        <v>0</v>
      </c>
      <c r="G30" s="190">
        <f>14000+1054000</f>
        <v>1068000</v>
      </c>
      <c r="H30" s="378">
        <v>0</v>
      </c>
    </row>
    <row r="31" spans="1:8" ht="14.25" thickBot="1" thickTop="1">
      <c r="A31" s="183">
        <v>852</v>
      </c>
      <c r="B31" s="183"/>
      <c r="C31" s="184" t="s">
        <v>102</v>
      </c>
      <c r="D31" s="185">
        <f t="shared" si="2"/>
        <v>7000</v>
      </c>
      <c r="E31" s="377">
        <f>F31+G31</f>
        <v>7000</v>
      </c>
      <c r="F31" s="185">
        <f>F32</f>
        <v>0</v>
      </c>
      <c r="G31" s="185">
        <f>G32</f>
        <v>7000</v>
      </c>
      <c r="H31" s="377">
        <f>H32</f>
        <v>0</v>
      </c>
    </row>
    <row r="32" spans="1:8" ht="14.25" thickBot="1" thickTop="1">
      <c r="A32" s="403"/>
      <c r="B32" s="404">
        <v>85295</v>
      </c>
      <c r="C32" s="405" t="s">
        <v>291</v>
      </c>
      <c r="D32" s="406">
        <f>SUM(H32+E32)</f>
        <v>7000</v>
      </c>
      <c r="E32" s="407">
        <f>SUM(F32:G32)</f>
        <v>7000</v>
      </c>
      <c r="F32" s="408">
        <v>0</v>
      </c>
      <c r="G32" s="409">
        <v>7000</v>
      </c>
      <c r="H32" s="407"/>
    </row>
    <row r="33" spans="1:8" ht="27" thickBot="1" thickTop="1">
      <c r="A33" s="208">
        <v>853</v>
      </c>
      <c r="B33" s="208"/>
      <c r="C33" s="209" t="s">
        <v>212</v>
      </c>
      <c r="D33" s="210">
        <f t="shared" si="2"/>
        <v>49000</v>
      </c>
      <c r="E33" s="382">
        <f>F33+G33</f>
        <v>49000</v>
      </c>
      <c r="F33" s="210">
        <f>F34</f>
        <v>43807</v>
      </c>
      <c r="G33" s="318">
        <f>G34</f>
        <v>5193</v>
      </c>
      <c r="H33" s="382">
        <f>H34</f>
        <v>0</v>
      </c>
    </row>
    <row r="34" spans="1:8" ht="14.25" thickBot="1" thickTop="1">
      <c r="A34" s="211"/>
      <c r="B34" s="212">
        <v>85321</v>
      </c>
      <c r="C34" s="188" t="s">
        <v>109</v>
      </c>
      <c r="D34" s="189">
        <f t="shared" si="2"/>
        <v>49000</v>
      </c>
      <c r="E34" s="378">
        <f>F34+G34</f>
        <v>49000</v>
      </c>
      <c r="F34" s="213">
        <f>36307+7500</f>
        <v>43807</v>
      </c>
      <c r="G34" s="190">
        <f>5193</f>
        <v>5193</v>
      </c>
      <c r="H34" s="378">
        <v>0</v>
      </c>
    </row>
    <row r="35" spans="1:8" ht="13.5" thickBot="1">
      <c r="A35" s="560" t="s">
        <v>185</v>
      </c>
      <c r="B35" s="561"/>
      <c r="C35" s="561"/>
      <c r="D35" s="214">
        <f>D33+D29+D27+D24+D20+D18+D16+D31</f>
        <v>4456300</v>
      </c>
      <c r="E35" s="421">
        <f>E33+E29+E27+E24+E20+E18+E16+E31</f>
        <v>4421300</v>
      </c>
      <c r="F35" s="214">
        <f>F33+F29+F27+F24+F20+F18+F16+F31</f>
        <v>2570509</v>
      </c>
      <c r="G35" s="214">
        <f>G33+G29+G27+G24+G20+G18+G16+G31</f>
        <v>1850791</v>
      </c>
      <c r="H35" s="384">
        <f>H33+H29+H27+H24+H20+H18+H16+H31</f>
        <v>35000</v>
      </c>
    </row>
    <row r="37" spans="4:5" ht="12.75">
      <c r="D37" s="439">
        <f>SUM(F35+G35+H35)</f>
        <v>4456300</v>
      </c>
      <c r="E37" s="439">
        <f>SUM(F35:G35)</f>
        <v>4421300</v>
      </c>
    </row>
  </sheetData>
  <sheetProtection/>
  <mergeCells count="13">
    <mergeCell ref="A10:A14"/>
    <mergeCell ref="B10:B14"/>
    <mergeCell ref="C10:C14"/>
    <mergeCell ref="A35:C35"/>
    <mergeCell ref="E11:G11"/>
    <mergeCell ref="A6:H6"/>
    <mergeCell ref="A7:H7"/>
    <mergeCell ref="A8:H8"/>
    <mergeCell ref="D10:D14"/>
    <mergeCell ref="E10:H10"/>
    <mergeCell ref="H11:H14"/>
    <mergeCell ref="E12:E14"/>
    <mergeCell ref="F12:G13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3"/>
  <sheetViews>
    <sheetView zoomScale="75" zoomScaleNormal="75" zoomScalePageLayoutView="0" workbookViewId="0" topLeftCell="A1">
      <selection activeCell="G5" sqref="G5:G7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  <col min="8" max="8" width="13.875" style="0" customWidth="1"/>
  </cols>
  <sheetData>
    <row r="4" spans="7:8" ht="12.75">
      <c r="G4" s="94" t="s">
        <v>213</v>
      </c>
      <c r="H4" s="94"/>
    </row>
    <row r="5" spans="7:8" ht="12.75">
      <c r="G5" s="10" t="s">
        <v>315</v>
      </c>
      <c r="H5" s="94"/>
    </row>
    <row r="6" spans="7:8" ht="12.75" customHeight="1">
      <c r="G6" s="10" t="s">
        <v>21</v>
      </c>
      <c r="H6" s="94"/>
    </row>
    <row r="7" spans="7:8" ht="15.75" customHeight="1">
      <c r="G7" s="11" t="s">
        <v>316</v>
      </c>
      <c r="H7" s="94"/>
    </row>
    <row r="8" spans="1:8" ht="15.75" customHeight="1">
      <c r="A8" s="94"/>
      <c r="B8" s="94"/>
      <c r="C8" s="94"/>
      <c r="D8" s="94"/>
      <c r="E8" s="94"/>
      <c r="F8" s="94"/>
      <c r="G8" s="94"/>
      <c r="H8" s="94"/>
    </row>
    <row r="9" spans="1:8" ht="18" customHeight="1">
      <c r="A9" s="94"/>
      <c r="B9" s="94"/>
      <c r="C9" s="94"/>
      <c r="D9" s="94"/>
      <c r="E9" s="94"/>
      <c r="F9" s="94"/>
      <c r="G9" s="94"/>
      <c r="H9" s="94"/>
    </row>
    <row r="10" spans="1:8" ht="12.75" customHeight="1">
      <c r="A10" s="94"/>
      <c r="B10" s="94"/>
      <c r="C10" s="94"/>
      <c r="D10" s="94"/>
      <c r="E10" s="94"/>
      <c r="F10" s="94"/>
      <c r="G10" s="94"/>
      <c r="H10" s="94"/>
    </row>
    <row r="11" spans="1:8" ht="12.75">
      <c r="A11" s="94"/>
      <c r="B11" s="94"/>
      <c r="C11" s="94"/>
      <c r="D11" s="94"/>
      <c r="E11" s="94"/>
      <c r="F11" s="94"/>
      <c r="G11" s="94"/>
      <c r="H11" s="94"/>
    </row>
    <row r="12" spans="1:8" ht="15">
      <c r="A12" s="551" t="s">
        <v>214</v>
      </c>
      <c r="B12" s="548"/>
      <c r="C12" s="548"/>
      <c r="D12" s="548"/>
      <c r="E12" s="548"/>
      <c r="F12" s="548"/>
      <c r="G12" s="548"/>
      <c r="H12" s="548"/>
    </row>
    <row r="13" spans="1:8" ht="15">
      <c r="A13" s="551" t="s">
        <v>215</v>
      </c>
      <c r="B13" s="548"/>
      <c r="C13" s="548"/>
      <c r="D13" s="548"/>
      <c r="E13" s="548"/>
      <c r="F13" s="548"/>
      <c r="G13" s="548"/>
      <c r="H13" s="548"/>
    </row>
    <row r="14" spans="1:8" ht="15">
      <c r="A14" s="551" t="s">
        <v>276</v>
      </c>
      <c r="B14" s="548"/>
      <c r="C14" s="548"/>
      <c r="D14" s="548"/>
      <c r="E14" s="548"/>
      <c r="F14" s="548"/>
      <c r="G14" s="548"/>
      <c r="H14" s="548"/>
    </row>
    <row r="15" spans="1:8" ht="13.5" thickBot="1">
      <c r="A15" s="94"/>
      <c r="B15" s="94"/>
      <c r="C15" s="94"/>
      <c r="D15" s="94"/>
      <c r="E15" s="94"/>
      <c r="F15" s="94"/>
      <c r="G15" s="94"/>
      <c r="H15" s="95" t="s">
        <v>32</v>
      </c>
    </row>
    <row r="16" spans="1:8" ht="13.5" thickBot="1">
      <c r="A16" s="596" t="s">
        <v>0</v>
      </c>
      <c r="B16" s="596" t="s">
        <v>147</v>
      </c>
      <c r="C16" s="596" t="s">
        <v>36</v>
      </c>
      <c r="D16" s="600" t="s">
        <v>148</v>
      </c>
      <c r="E16" s="586" t="s">
        <v>187</v>
      </c>
      <c r="F16" s="587"/>
      <c r="G16" s="587"/>
      <c r="H16" s="588"/>
    </row>
    <row r="17" spans="1:8" ht="13.5" thickBot="1">
      <c r="A17" s="597"/>
      <c r="B17" s="597"/>
      <c r="C17" s="597"/>
      <c r="D17" s="601"/>
      <c r="E17" s="589" t="s">
        <v>150</v>
      </c>
      <c r="F17" s="590"/>
      <c r="G17" s="591"/>
      <c r="H17" s="592" t="s">
        <v>151</v>
      </c>
    </row>
    <row r="18" spans="1:8" ht="13.5" thickBot="1">
      <c r="A18" s="597"/>
      <c r="B18" s="597"/>
      <c r="C18" s="597"/>
      <c r="D18" s="601"/>
      <c r="E18" s="595" t="s">
        <v>15</v>
      </c>
      <c r="F18" s="586" t="s">
        <v>189</v>
      </c>
      <c r="G18" s="588"/>
      <c r="H18" s="593"/>
    </row>
    <row r="19" spans="1:8" ht="36.75" thickBot="1">
      <c r="A19" s="598"/>
      <c r="B19" s="599"/>
      <c r="C19" s="599"/>
      <c r="D19" s="602"/>
      <c r="E19" s="594"/>
      <c r="F19" s="215" t="s">
        <v>190</v>
      </c>
      <c r="G19" s="216" t="s">
        <v>191</v>
      </c>
      <c r="H19" s="594"/>
    </row>
    <row r="20" spans="1:9" ht="13.5" thickBot="1">
      <c r="A20" s="217">
        <v>1</v>
      </c>
      <c r="B20" s="218">
        <v>2</v>
      </c>
      <c r="C20" s="219">
        <v>3</v>
      </c>
      <c r="D20" s="220">
        <v>4</v>
      </c>
      <c r="E20" s="385">
        <v>5</v>
      </c>
      <c r="F20" s="221">
        <v>6</v>
      </c>
      <c r="G20" s="221">
        <v>7</v>
      </c>
      <c r="H20" s="386">
        <v>8</v>
      </c>
      <c r="I20" s="310"/>
    </row>
    <row r="21" spans="1:8" ht="21.75" customHeight="1" thickBot="1" thickTop="1">
      <c r="A21" s="222">
        <v>750</v>
      </c>
      <c r="B21" s="153"/>
      <c r="C21" s="422" t="s">
        <v>56</v>
      </c>
      <c r="D21" s="450">
        <f>D22</f>
        <v>1000</v>
      </c>
      <c r="E21" s="451">
        <f>G21+F21</f>
        <v>1000</v>
      </c>
      <c r="F21" s="450">
        <f>F22</f>
        <v>0</v>
      </c>
      <c r="G21" s="450">
        <f>G22</f>
        <v>1000</v>
      </c>
      <c r="H21" s="452">
        <v>0</v>
      </c>
    </row>
    <row r="22" spans="1:8" ht="24.75" customHeight="1" thickBot="1" thickTop="1">
      <c r="A22" s="223"/>
      <c r="B22" s="111">
        <v>75045</v>
      </c>
      <c r="C22" s="423" t="s">
        <v>71</v>
      </c>
      <c r="D22" s="453">
        <f>E22+H22</f>
        <v>1000</v>
      </c>
      <c r="E22" s="454">
        <f>G22+F22</f>
        <v>1000</v>
      </c>
      <c r="F22" s="455">
        <v>0</v>
      </c>
      <c r="G22" s="455">
        <v>1000</v>
      </c>
      <c r="H22" s="456">
        <v>0</v>
      </c>
    </row>
    <row r="23" spans="1:9" ht="13.5" thickBot="1">
      <c r="A23" s="584" t="s">
        <v>15</v>
      </c>
      <c r="B23" s="585"/>
      <c r="C23" s="585"/>
      <c r="D23" s="457">
        <f>D21</f>
        <v>1000</v>
      </c>
      <c r="E23" s="458">
        <f>E21</f>
        <v>1000</v>
      </c>
      <c r="F23" s="457">
        <f>F21</f>
        <v>0</v>
      </c>
      <c r="G23" s="457">
        <f>G21</f>
        <v>1000</v>
      </c>
      <c r="H23" s="459">
        <f>H21</f>
        <v>0</v>
      </c>
      <c r="I23" s="310"/>
    </row>
  </sheetData>
  <sheetProtection/>
  <mergeCells count="13">
    <mergeCell ref="A12:H12"/>
    <mergeCell ref="A13:H13"/>
    <mergeCell ref="A14:H14"/>
    <mergeCell ref="A16:A19"/>
    <mergeCell ref="B16:B19"/>
    <mergeCell ref="C16:C19"/>
    <mergeCell ref="D16:D19"/>
    <mergeCell ref="A23:C23"/>
    <mergeCell ref="E16:H16"/>
    <mergeCell ref="E17:G17"/>
    <mergeCell ref="H17:H19"/>
    <mergeCell ref="E18:E19"/>
    <mergeCell ref="F18:G18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zoomScalePageLayoutView="0" workbookViewId="0" topLeftCell="A1">
      <selection activeCell="I17" sqref="I17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</cols>
  <sheetData>
    <row r="1" spans="1:7" ht="12.75">
      <c r="A1" s="94"/>
      <c r="B1" s="94"/>
      <c r="C1" s="94"/>
      <c r="D1" s="94"/>
      <c r="E1" s="94"/>
      <c r="F1" s="224" t="s">
        <v>216</v>
      </c>
      <c r="G1" s="94"/>
    </row>
    <row r="2" spans="1:7" ht="12.75">
      <c r="A2" s="94"/>
      <c r="B2" s="94"/>
      <c r="C2" s="94"/>
      <c r="D2" s="94"/>
      <c r="E2" s="94"/>
      <c r="F2" s="10" t="s">
        <v>315</v>
      </c>
      <c r="G2" s="94"/>
    </row>
    <row r="3" spans="1:7" ht="12.75">
      <c r="A3" s="94"/>
      <c r="B3" s="94"/>
      <c r="C3" s="94"/>
      <c r="D3" s="94"/>
      <c r="E3" s="94"/>
      <c r="F3" s="10" t="s">
        <v>21</v>
      </c>
      <c r="G3" s="94"/>
    </row>
    <row r="4" spans="1:7" ht="12.75">
      <c r="A4" s="94"/>
      <c r="B4" s="94"/>
      <c r="C4" s="94"/>
      <c r="D4" s="94"/>
      <c r="E4" s="94"/>
      <c r="F4" s="11" t="s">
        <v>316</v>
      </c>
      <c r="G4" s="94"/>
    </row>
    <row r="5" spans="1:7" ht="12.75">
      <c r="A5" s="94"/>
      <c r="B5" s="94"/>
      <c r="C5" s="94"/>
      <c r="D5" s="94"/>
      <c r="E5" s="94"/>
      <c r="F5" s="94"/>
      <c r="G5" s="94"/>
    </row>
    <row r="6" spans="1:7" ht="12.75" customHeight="1">
      <c r="A6" s="551" t="s">
        <v>277</v>
      </c>
      <c r="B6" s="548"/>
      <c r="C6" s="548"/>
      <c r="D6" s="548"/>
      <c r="E6" s="548"/>
      <c r="F6" s="548"/>
      <c r="G6" s="548"/>
    </row>
    <row r="7" spans="1:7" ht="15.75" customHeight="1">
      <c r="A7" s="551" t="s">
        <v>278</v>
      </c>
      <c r="B7" s="548"/>
      <c r="C7" s="548"/>
      <c r="D7" s="548"/>
      <c r="E7" s="548"/>
      <c r="F7" s="548"/>
      <c r="G7" s="548"/>
    </row>
    <row r="8" spans="1:7" ht="15.75" customHeight="1">
      <c r="A8" s="551" t="s">
        <v>279</v>
      </c>
      <c r="B8" s="548"/>
      <c r="C8" s="548"/>
      <c r="D8" s="548"/>
      <c r="E8" s="548"/>
      <c r="F8" s="548"/>
      <c r="G8" s="548"/>
    </row>
    <row r="9" spans="1:7" ht="18" customHeight="1" thickBot="1">
      <c r="A9" s="94"/>
      <c r="B9" s="94"/>
      <c r="C9" s="94"/>
      <c r="D9" s="94"/>
      <c r="E9" s="94"/>
      <c r="F9" s="94"/>
      <c r="G9" s="95" t="s">
        <v>32</v>
      </c>
    </row>
    <row r="10" spans="1:7" ht="12.75" customHeight="1" thickBot="1">
      <c r="A10" s="616" t="s">
        <v>217</v>
      </c>
      <c r="B10" s="616" t="s">
        <v>218</v>
      </c>
      <c r="C10" s="603" t="s">
        <v>36</v>
      </c>
      <c r="D10" s="606" t="s">
        <v>37</v>
      </c>
      <c r="E10" s="607"/>
      <c r="F10" s="607"/>
      <c r="G10" s="608"/>
    </row>
    <row r="11" spans="1:7" ht="13.5" thickBot="1">
      <c r="A11" s="604"/>
      <c r="B11" s="604"/>
      <c r="C11" s="604"/>
      <c r="D11" s="609" t="s">
        <v>219</v>
      </c>
      <c r="E11" s="610"/>
      <c r="F11" s="610"/>
      <c r="G11" s="611"/>
    </row>
    <row r="12" spans="1:7" ht="13.5" thickBot="1">
      <c r="A12" s="604"/>
      <c r="B12" s="604"/>
      <c r="C12" s="604"/>
      <c r="D12" s="603" t="s">
        <v>220</v>
      </c>
      <c r="E12" s="606" t="s">
        <v>221</v>
      </c>
      <c r="F12" s="607"/>
      <c r="G12" s="608"/>
    </row>
    <row r="13" spans="1:7" ht="51.75" thickBot="1">
      <c r="A13" s="612"/>
      <c r="B13" s="605"/>
      <c r="C13" s="605"/>
      <c r="D13" s="612"/>
      <c r="E13" s="225" t="s">
        <v>4</v>
      </c>
      <c r="F13" s="225" t="s">
        <v>154</v>
      </c>
      <c r="G13" s="226" t="s">
        <v>222</v>
      </c>
    </row>
    <row r="14" spans="1:7" ht="13.5" thickBot="1">
      <c r="A14" s="460">
        <v>1</v>
      </c>
      <c r="B14" s="228">
        <v>2</v>
      </c>
      <c r="C14" s="97">
        <v>3</v>
      </c>
      <c r="D14" s="227">
        <v>4</v>
      </c>
      <c r="E14" s="227">
        <v>5</v>
      </c>
      <c r="F14" s="227">
        <v>6</v>
      </c>
      <c r="G14" s="461">
        <v>7</v>
      </c>
    </row>
    <row r="15" spans="1:7" ht="21.75" customHeight="1" thickBot="1" thickTop="1">
      <c r="A15" s="462">
        <v>600</v>
      </c>
      <c r="B15" s="229"/>
      <c r="C15" s="230" t="s">
        <v>7</v>
      </c>
      <c r="D15" s="440">
        <f>D16</f>
        <v>20000</v>
      </c>
      <c r="E15" s="440">
        <f>E16</f>
        <v>20000</v>
      </c>
      <c r="F15" s="440">
        <f>F16</f>
        <v>20000</v>
      </c>
      <c r="G15" s="463">
        <v>0</v>
      </c>
    </row>
    <row r="16" spans="1:7" ht="23.25" customHeight="1" thickBot="1" thickTop="1">
      <c r="A16" s="504"/>
      <c r="B16" s="505" t="s">
        <v>314</v>
      </c>
      <c r="C16" s="506" t="s">
        <v>313</v>
      </c>
      <c r="D16" s="507">
        <f>E16</f>
        <v>20000</v>
      </c>
      <c r="E16" s="507">
        <f>F16+G16</f>
        <v>20000</v>
      </c>
      <c r="F16" s="507">
        <v>20000</v>
      </c>
      <c r="G16" s="508">
        <v>0</v>
      </c>
    </row>
    <row r="17" spans="1:7" ht="24.75" customHeight="1" thickBot="1" thickTop="1">
      <c r="A17" s="462" t="s">
        <v>224</v>
      </c>
      <c r="B17" s="229"/>
      <c r="C17" s="230" t="s">
        <v>102</v>
      </c>
      <c r="D17" s="440">
        <f>D18</f>
        <v>560269</v>
      </c>
      <c r="E17" s="440">
        <f>E18</f>
        <v>560269</v>
      </c>
      <c r="F17" s="440">
        <f>F18</f>
        <v>560269</v>
      </c>
      <c r="G17" s="463">
        <v>0</v>
      </c>
    </row>
    <row r="18" spans="1:7" ht="22.5" customHeight="1" thickBot="1" thickTop="1">
      <c r="A18" s="464"/>
      <c r="B18" s="231" t="s">
        <v>225</v>
      </c>
      <c r="C18" s="232" t="s">
        <v>226</v>
      </c>
      <c r="D18" s="441">
        <f>E18</f>
        <v>560269</v>
      </c>
      <c r="E18" s="441">
        <f>F18+G18</f>
        <v>560269</v>
      </c>
      <c r="F18" s="441">
        <v>560269</v>
      </c>
      <c r="G18" s="465">
        <v>0</v>
      </c>
    </row>
    <row r="19" spans="1:7" ht="31.5" thickBot="1" thickTop="1">
      <c r="A19" s="466">
        <v>921</v>
      </c>
      <c r="B19" s="233"/>
      <c r="C19" s="230" t="s">
        <v>25</v>
      </c>
      <c r="D19" s="442">
        <f>E19</f>
        <v>24000</v>
      </c>
      <c r="E19" s="442">
        <f>F19</f>
        <v>24000</v>
      </c>
      <c r="F19" s="442">
        <f>F20</f>
        <v>24000</v>
      </c>
      <c r="G19" s="467">
        <v>0</v>
      </c>
    </row>
    <row r="20" spans="1:7" ht="21.75" customHeight="1" thickBot="1" thickTop="1">
      <c r="A20" s="468"/>
      <c r="B20" s="234">
        <v>92116</v>
      </c>
      <c r="C20" s="424" t="s">
        <v>184</v>
      </c>
      <c r="D20" s="443">
        <f>E20</f>
        <v>24000</v>
      </c>
      <c r="E20" s="443">
        <f>F20</f>
        <v>24000</v>
      </c>
      <c r="F20" s="443">
        <v>24000</v>
      </c>
      <c r="G20" s="469">
        <v>0</v>
      </c>
    </row>
    <row r="21" spans="1:7" ht="17.25" customHeight="1" thickBot="1">
      <c r="A21" s="613" t="s">
        <v>15</v>
      </c>
      <c r="B21" s="614"/>
      <c r="C21" s="615"/>
      <c r="D21" s="444">
        <f>D15+D17+D19</f>
        <v>604269</v>
      </c>
      <c r="E21" s="444">
        <f>E15+E17+E19</f>
        <v>604269</v>
      </c>
      <c r="F21" s="444">
        <f>F15+F17+F19</f>
        <v>604269</v>
      </c>
      <c r="G21" s="470">
        <f>G15+G17</f>
        <v>0</v>
      </c>
    </row>
  </sheetData>
  <sheetProtection/>
  <mergeCells count="11">
    <mergeCell ref="A6:G6"/>
    <mergeCell ref="A7:G7"/>
    <mergeCell ref="A8:G8"/>
    <mergeCell ref="A10:A13"/>
    <mergeCell ref="B10:B13"/>
    <mergeCell ref="C10:C13"/>
    <mergeCell ref="D10:G10"/>
    <mergeCell ref="D11:G11"/>
    <mergeCell ref="D12:D13"/>
    <mergeCell ref="E12:G12"/>
    <mergeCell ref="A21:C21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PageLayoutView="0" workbookViewId="0" topLeftCell="A1">
      <selection activeCell="G42" sqref="G42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48.00390625" style="0" bestFit="1" customWidth="1"/>
    <col min="9" max="9" width="6.75390625" style="0" customWidth="1"/>
  </cols>
  <sheetData>
    <row r="1" spans="1:8" ht="12.75">
      <c r="A1" s="94"/>
      <c r="B1" s="94"/>
      <c r="C1" s="94"/>
      <c r="D1" s="94"/>
      <c r="E1" s="94"/>
      <c r="F1" s="94"/>
      <c r="G1" s="319" t="s">
        <v>20</v>
      </c>
      <c r="H1" s="94"/>
    </row>
    <row r="2" spans="1:8" ht="12.75">
      <c r="A2" s="94"/>
      <c r="B2" s="94"/>
      <c r="C2" s="94"/>
      <c r="D2" s="94"/>
      <c r="E2" s="94"/>
      <c r="F2" s="94"/>
      <c r="G2" s="346" t="s">
        <v>317</v>
      </c>
      <c r="H2" s="94"/>
    </row>
    <row r="3" spans="1:8" ht="12.75">
      <c r="A3" s="94"/>
      <c r="B3" s="94"/>
      <c r="C3" s="94"/>
      <c r="D3" s="94"/>
      <c r="E3" s="94"/>
      <c r="F3" s="94"/>
      <c r="G3" s="346" t="s">
        <v>21</v>
      </c>
      <c r="H3" s="94"/>
    </row>
    <row r="4" spans="1:8" ht="12.75">
      <c r="A4" s="94"/>
      <c r="B4" s="94"/>
      <c r="C4" s="94"/>
      <c r="D4" s="94"/>
      <c r="E4" s="94"/>
      <c r="F4" s="94"/>
      <c r="G4" s="347" t="s">
        <v>318</v>
      </c>
      <c r="H4" s="94"/>
    </row>
    <row r="5" spans="1:8" ht="12.75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633" t="s">
        <v>280</v>
      </c>
      <c r="B6" s="634"/>
      <c r="C6" s="634"/>
      <c r="D6" s="634"/>
      <c r="E6" s="634"/>
      <c r="F6" s="634"/>
      <c r="G6" s="634"/>
      <c r="H6" s="634"/>
    </row>
    <row r="7" spans="1:8" ht="15.75" customHeight="1">
      <c r="A7" s="633" t="s">
        <v>281</v>
      </c>
      <c r="B7" s="634"/>
      <c r="C7" s="634"/>
      <c r="D7" s="634"/>
      <c r="E7" s="634"/>
      <c r="F7" s="634"/>
      <c r="G7" s="634"/>
      <c r="H7" s="634"/>
    </row>
    <row r="8" spans="1:8" ht="15.75" customHeight="1">
      <c r="A8" s="633" t="s">
        <v>282</v>
      </c>
      <c r="B8" s="634"/>
      <c r="C8" s="634"/>
      <c r="D8" s="634"/>
      <c r="E8" s="634"/>
      <c r="F8" s="634"/>
      <c r="G8" s="634"/>
      <c r="H8" s="634"/>
    </row>
    <row r="9" spans="1:8" ht="18" customHeight="1">
      <c r="A9" s="94"/>
      <c r="B9" s="94"/>
      <c r="C9" s="94"/>
      <c r="D9" s="94"/>
      <c r="E9" s="94"/>
      <c r="F9" s="94"/>
      <c r="G9" s="94"/>
      <c r="H9" s="94"/>
    </row>
    <row r="10" spans="1:8" ht="12.75" customHeight="1">
      <c r="A10" s="236" t="s">
        <v>227</v>
      </c>
      <c r="B10" s="236"/>
      <c r="C10" s="236"/>
      <c r="D10" s="94"/>
      <c r="E10" s="94"/>
      <c r="F10" s="94"/>
      <c r="G10" s="94"/>
      <c r="H10" s="94"/>
    </row>
    <row r="11" spans="1:8" ht="12.75">
      <c r="A11" s="237" t="s">
        <v>228</v>
      </c>
      <c r="B11" s="237"/>
      <c r="C11" s="237"/>
      <c r="D11" s="237"/>
      <c r="E11" s="238"/>
      <c r="F11" s="238"/>
      <c r="G11" s="238"/>
      <c r="H11" s="238"/>
    </row>
    <row r="12" spans="1:8" ht="13.5" thickBot="1">
      <c r="A12" s="239"/>
      <c r="B12" s="239"/>
      <c r="C12" s="239"/>
      <c r="D12" s="239"/>
      <c r="E12" s="94"/>
      <c r="F12" s="94"/>
      <c r="G12" s="94"/>
      <c r="H12" s="95" t="s">
        <v>32</v>
      </c>
    </row>
    <row r="13" spans="1:9" ht="13.5" thickBot="1">
      <c r="A13" s="624" t="s">
        <v>229</v>
      </c>
      <c r="B13" s="625"/>
      <c r="C13" s="625"/>
      <c r="D13" s="626"/>
      <c r="E13" s="624" t="s">
        <v>230</v>
      </c>
      <c r="F13" s="625"/>
      <c r="G13" s="625"/>
      <c r="H13" s="635"/>
      <c r="I13" s="310"/>
    </row>
    <row r="14" spans="1:8" ht="13.5" thickBot="1">
      <c r="A14" s="242" t="s">
        <v>33</v>
      </c>
      <c r="B14" s="243" t="s">
        <v>231</v>
      </c>
      <c r="C14" s="244" t="s">
        <v>232</v>
      </c>
      <c r="D14" s="245" t="s">
        <v>233</v>
      </c>
      <c r="E14" s="240" t="s">
        <v>33</v>
      </c>
      <c r="F14" s="246" t="s">
        <v>34</v>
      </c>
      <c r="G14" s="247" t="s">
        <v>232</v>
      </c>
      <c r="H14" s="241" t="s">
        <v>233</v>
      </c>
    </row>
    <row r="15" spans="1:8" ht="13.5" thickBot="1">
      <c r="A15" s="248">
        <v>710</v>
      </c>
      <c r="B15" s="249"/>
      <c r="C15" s="250" t="s">
        <v>9</v>
      </c>
      <c r="D15" s="251">
        <f>D16+D17</f>
        <v>499000</v>
      </c>
      <c r="E15" s="248">
        <v>710</v>
      </c>
      <c r="F15" s="249"/>
      <c r="G15" s="250" t="s">
        <v>9</v>
      </c>
      <c r="H15" s="252">
        <f>H16</f>
        <v>499000</v>
      </c>
    </row>
    <row r="16" spans="1:9" ht="13.5" thickTop="1">
      <c r="A16" s="253"/>
      <c r="B16" s="254" t="s">
        <v>67</v>
      </c>
      <c r="C16" s="255" t="s">
        <v>68</v>
      </c>
      <c r="D16" s="509">
        <v>407000</v>
      </c>
      <c r="E16" s="257"/>
      <c r="F16" s="627">
        <v>71012</v>
      </c>
      <c r="G16" s="629" t="s">
        <v>163</v>
      </c>
      <c r="H16" s="631">
        <v>499000</v>
      </c>
      <c r="I16" s="310"/>
    </row>
    <row r="17" spans="1:9" s="44" customFormat="1" ht="15.75" customHeight="1" thickBot="1">
      <c r="A17" s="342"/>
      <c r="B17" s="343">
        <v>2650</v>
      </c>
      <c r="C17" s="344" t="s">
        <v>234</v>
      </c>
      <c r="D17" s="258">
        <v>92000</v>
      </c>
      <c r="E17" s="257"/>
      <c r="F17" s="628"/>
      <c r="G17" s="630"/>
      <c r="H17" s="632"/>
      <c r="I17" s="315"/>
    </row>
    <row r="18" spans="1:8" ht="13.5" thickBot="1">
      <c r="A18" s="618" t="s">
        <v>15</v>
      </c>
      <c r="B18" s="619"/>
      <c r="C18" s="620"/>
      <c r="D18" s="259">
        <f>D15</f>
        <v>499000</v>
      </c>
      <c r="E18" s="618" t="s">
        <v>15</v>
      </c>
      <c r="F18" s="619"/>
      <c r="G18" s="620"/>
      <c r="H18" s="263">
        <f>H15</f>
        <v>499000</v>
      </c>
    </row>
    <row r="19" spans="1:8" ht="12.75">
      <c r="A19" s="239"/>
      <c r="B19" s="239"/>
      <c r="C19" s="239"/>
      <c r="D19" s="239"/>
      <c r="E19" s="239"/>
      <c r="F19" s="239"/>
      <c r="G19" s="239"/>
      <c r="H19" s="239"/>
    </row>
    <row r="20" spans="1:8" ht="12.75">
      <c r="A20" s="94"/>
      <c r="B20" s="94"/>
      <c r="C20" s="94"/>
      <c r="D20" s="94"/>
      <c r="E20" s="94"/>
      <c r="F20" s="94"/>
      <c r="G20" s="94"/>
      <c r="H20" s="94"/>
    </row>
    <row r="21" spans="1:8" ht="21.75" customHeight="1">
      <c r="A21" s="236" t="s">
        <v>235</v>
      </c>
      <c r="B21" s="236"/>
      <c r="C21" s="236"/>
      <c r="D21" s="94"/>
      <c r="E21" s="94"/>
      <c r="F21" s="94"/>
      <c r="G21" s="94"/>
      <c r="H21" s="94"/>
    </row>
    <row r="22" spans="1:8" ht="12.75">
      <c r="A22" s="238" t="s">
        <v>306</v>
      </c>
      <c r="B22" s="94"/>
      <c r="C22" s="94"/>
      <c r="D22" s="94"/>
      <c r="E22" s="94"/>
      <c r="F22" s="94"/>
      <c r="G22" s="94"/>
      <c r="H22" s="94"/>
    </row>
    <row r="23" spans="1:8" ht="13.5" thickBot="1">
      <c r="A23" s="94"/>
      <c r="B23" s="94"/>
      <c r="C23" s="94"/>
      <c r="D23" s="94"/>
      <c r="E23" s="94"/>
      <c r="F23" s="94"/>
      <c r="G23" s="94"/>
      <c r="H23" s="95" t="s">
        <v>32</v>
      </c>
    </row>
    <row r="24" spans="1:8" ht="13.5" thickBot="1">
      <c r="A24" s="624" t="s">
        <v>229</v>
      </c>
      <c r="B24" s="625"/>
      <c r="C24" s="625"/>
      <c r="D24" s="626"/>
      <c r="E24" s="624" t="s">
        <v>230</v>
      </c>
      <c r="F24" s="625"/>
      <c r="G24" s="625"/>
      <c r="H24" s="626"/>
    </row>
    <row r="25" spans="1:8" ht="13.5" thickBot="1">
      <c r="A25" s="242" t="s">
        <v>33</v>
      </c>
      <c r="B25" s="243" t="s">
        <v>231</v>
      </c>
      <c r="C25" s="260" t="s">
        <v>232</v>
      </c>
      <c r="D25" s="245" t="s">
        <v>233</v>
      </c>
      <c r="E25" s="261" t="s">
        <v>33</v>
      </c>
      <c r="F25" s="243" t="s">
        <v>34</v>
      </c>
      <c r="G25" s="243" t="s">
        <v>232</v>
      </c>
      <c r="H25" s="241" t="s">
        <v>233</v>
      </c>
    </row>
    <row r="26" spans="1:8" ht="13.5" thickBot="1">
      <c r="A26" s="248">
        <v>801</v>
      </c>
      <c r="B26" s="249"/>
      <c r="C26" s="249" t="s">
        <v>87</v>
      </c>
      <c r="D26" s="251">
        <f>SUM(D27)</f>
        <v>484969</v>
      </c>
      <c r="E26" s="248">
        <v>801</v>
      </c>
      <c r="F26" s="249"/>
      <c r="G26" s="249" t="s">
        <v>87</v>
      </c>
      <c r="H26" s="252">
        <f>H27</f>
        <v>484969</v>
      </c>
    </row>
    <row r="27" spans="1:8" ht="14.25" thickBot="1" thickTop="1">
      <c r="A27" s="253"/>
      <c r="B27" s="254" t="s">
        <v>67</v>
      </c>
      <c r="C27" s="255" t="s">
        <v>68</v>
      </c>
      <c r="D27" s="256">
        <v>484969</v>
      </c>
      <c r="E27" s="262"/>
      <c r="F27" s="396">
        <v>80197</v>
      </c>
      <c r="G27" s="397" t="s">
        <v>236</v>
      </c>
      <c r="H27" s="398">
        <v>484969</v>
      </c>
    </row>
    <row r="28" spans="1:8" ht="13.5" thickBot="1">
      <c r="A28" s="618" t="s">
        <v>15</v>
      </c>
      <c r="B28" s="619"/>
      <c r="C28" s="620"/>
      <c r="D28" s="259">
        <f>SUM(D26)</f>
        <v>484969</v>
      </c>
      <c r="E28" s="618" t="s">
        <v>15</v>
      </c>
      <c r="F28" s="619"/>
      <c r="G28" s="620"/>
      <c r="H28" s="263">
        <f>H26</f>
        <v>484969</v>
      </c>
    </row>
    <row r="29" spans="1:8" ht="12.75">
      <c r="A29" s="239"/>
      <c r="B29" s="239"/>
      <c r="C29" s="239"/>
      <c r="D29" s="264"/>
      <c r="E29" s="239"/>
      <c r="F29" s="239"/>
      <c r="G29" s="239"/>
      <c r="H29" s="264"/>
    </row>
    <row r="30" spans="1:8" ht="12.75">
      <c r="A30" s="94"/>
      <c r="B30" s="94"/>
      <c r="C30" s="94"/>
      <c r="D30" s="94"/>
      <c r="E30" s="94"/>
      <c r="F30" s="94"/>
      <c r="G30" s="94"/>
      <c r="H30" s="94"/>
    </row>
    <row r="31" spans="1:8" ht="12.75">
      <c r="A31" s="236" t="s">
        <v>307</v>
      </c>
      <c r="B31" s="236"/>
      <c r="C31" s="236"/>
      <c r="D31" s="236"/>
      <c r="E31" s="236"/>
      <c r="F31" s="94"/>
      <c r="G31" s="94"/>
      <c r="H31" s="94"/>
    </row>
    <row r="32" spans="1:8" ht="13.5" thickBot="1">
      <c r="A32" s="94"/>
      <c r="B32" s="94"/>
      <c r="C32" s="94"/>
      <c r="D32" s="94"/>
      <c r="E32" s="94"/>
      <c r="F32" s="94"/>
      <c r="G32" s="94"/>
      <c r="H32" s="95" t="s">
        <v>32</v>
      </c>
    </row>
    <row r="33" spans="1:8" ht="13.5" thickBot="1">
      <c r="A33" s="621" t="s">
        <v>237</v>
      </c>
      <c r="B33" s="622"/>
      <c r="C33" s="622"/>
      <c r="D33" s="623"/>
      <c r="E33" s="621" t="s">
        <v>238</v>
      </c>
      <c r="F33" s="622"/>
      <c r="G33" s="622"/>
      <c r="H33" s="623"/>
    </row>
    <row r="34" spans="1:8" ht="13.5" thickBot="1">
      <c r="A34" s="265" t="s">
        <v>33</v>
      </c>
      <c r="B34" s="266" t="s">
        <v>231</v>
      </c>
      <c r="C34" s="266" t="s">
        <v>232</v>
      </c>
      <c r="D34" s="267" t="s">
        <v>233</v>
      </c>
      <c r="E34" s="267" t="s">
        <v>33</v>
      </c>
      <c r="F34" s="266" t="s">
        <v>34</v>
      </c>
      <c r="G34" s="266" t="s">
        <v>232</v>
      </c>
      <c r="H34" s="267" t="s">
        <v>233</v>
      </c>
    </row>
    <row r="35" spans="1:8" ht="14.25" thickBot="1" thickTop="1">
      <c r="A35" s="268">
        <v>852</v>
      </c>
      <c r="B35" s="269"/>
      <c r="C35" s="270" t="s">
        <v>102</v>
      </c>
      <c r="D35" s="390">
        <f>D36</f>
        <v>25000</v>
      </c>
      <c r="E35" s="268">
        <v>852</v>
      </c>
      <c r="F35" s="269"/>
      <c r="G35" s="270" t="s">
        <v>102</v>
      </c>
      <c r="H35" s="393">
        <f>H36</f>
        <v>25000</v>
      </c>
    </row>
    <row r="36" spans="1:9" ht="27" thickBot="1" thickTop="1">
      <c r="A36" s="223"/>
      <c r="B36" s="111" t="s">
        <v>239</v>
      </c>
      <c r="C36" s="271" t="s">
        <v>240</v>
      </c>
      <c r="D36" s="391">
        <v>25000</v>
      </c>
      <c r="E36" s="272"/>
      <c r="F36" s="273">
        <v>85201</v>
      </c>
      <c r="G36" s="274" t="s">
        <v>241</v>
      </c>
      <c r="H36" s="394">
        <v>25000</v>
      </c>
      <c r="I36" s="310"/>
    </row>
    <row r="37" spans="1:9" ht="13.5" thickBot="1">
      <c r="A37" s="618" t="s">
        <v>15</v>
      </c>
      <c r="B37" s="619"/>
      <c r="C37" s="620"/>
      <c r="D37" s="392">
        <f>D35</f>
        <v>25000</v>
      </c>
      <c r="E37" s="618" t="s">
        <v>15</v>
      </c>
      <c r="F37" s="619"/>
      <c r="G37" s="620"/>
      <c r="H37" s="395">
        <f>H35</f>
        <v>25000</v>
      </c>
      <c r="I37" s="310"/>
    </row>
  </sheetData>
  <sheetProtection/>
  <mergeCells count="18">
    <mergeCell ref="F16:F17"/>
    <mergeCell ref="G16:G17"/>
    <mergeCell ref="H16:H17"/>
    <mergeCell ref="A6:H6"/>
    <mergeCell ref="A7:H7"/>
    <mergeCell ref="A8:H8"/>
    <mergeCell ref="A13:D13"/>
    <mergeCell ref="E13:H13"/>
    <mergeCell ref="A18:C18"/>
    <mergeCell ref="E18:G18"/>
    <mergeCell ref="A37:C37"/>
    <mergeCell ref="E37:G37"/>
    <mergeCell ref="A28:C28"/>
    <mergeCell ref="E28:G28"/>
    <mergeCell ref="A33:D33"/>
    <mergeCell ref="E33:H33"/>
    <mergeCell ref="A24:D24"/>
    <mergeCell ref="E24:H24"/>
  </mergeCells>
  <printOptions horizontalCentered="1"/>
  <pageMargins left="0.61" right="0.58" top="0.55" bottom="0.7874015748031497" header="1.11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PYRZYCE</dc:creator>
  <cp:keywords/>
  <dc:description/>
  <cp:lastModifiedBy>mjanil</cp:lastModifiedBy>
  <cp:lastPrinted>2009-09-07T05:04:48Z</cp:lastPrinted>
  <dcterms:created xsi:type="dcterms:W3CDTF">2003-09-30T05:16:40Z</dcterms:created>
  <dcterms:modified xsi:type="dcterms:W3CDTF">2010-06-01T07:18:23Z</dcterms:modified>
  <cp:category/>
  <cp:version/>
  <cp:contentType/>
  <cp:contentStatus/>
</cp:coreProperties>
</file>