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tabRatio="596" activeTab="0"/>
  </bookViews>
  <sheets>
    <sheet name="DOCHODY I WYDATKI " sheetId="1" r:id="rId1"/>
    <sheet name="DOCHODY" sheetId="2" r:id="rId2"/>
    <sheet name="DOCHODY WG ŹRÓDEŁ" sheetId="3" r:id="rId3"/>
    <sheet name="WYDATKI" sheetId="4" r:id="rId4"/>
    <sheet name="WYDATKI zad. wł." sheetId="5" r:id="rId5"/>
    <sheet name="WYDATKI zad. zl." sheetId="6" r:id="rId6"/>
    <sheet name="WYDATKI poroz. z adm." sheetId="7" r:id="rId7"/>
    <sheet name="DOTACJE na  poroz." sheetId="8" r:id="rId8"/>
    <sheet name="DOTACJE " sheetId="9" r:id="rId9"/>
    <sheet name="przychody i rochody" sheetId="10" r:id="rId10"/>
  </sheets>
  <definedNames>
    <definedName name="_xlnm.Print_Area" localSheetId="1">'DOCHODY'!$A$1:$M$136</definedName>
    <definedName name="_xlnm.Print_Area" localSheetId="0">'DOCHODY I WYDATKI '!$A$1:$F$31</definedName>
    <definedName name="_xlnm.Print_Area" localSheetId="3">'WYDATKI'!$A$1:$L$109</definedName>
    <definedName name="_xlnm.Print_Area" localSheetId="6">'WYDATKI poroz. z adm.'!$A$1:$I$23</definedName>
    <definedName name="_xlnm.Print_Area" localSheetId="4">'WYDATKI zad. wł.'!$A$1:$L$90</definedName>
    <definedName name="_xlnm.Print_Titles" localSheetId="1">'DOCHODY'!$11:$14</definedName>
    <definedName name="_xlnm.Print_Titles" localSheetId="2">'DOCHODY WG ŹRÓDEŁ'!$9:$9</definedName>
    <definedName name="_xlnm.Print_Titles" localSheetId="3">'WYDATKI'!$9:$13</definedName>
    <definedName name="_xlnm.Print_Titles" localSheetId="4">'WYDATKI zad. wł.'!$9:$13</definedName>
    <definedName name="_xlnm.Print_Titles" localSheetId="5">'WYDATKI zad. zl.'!$10:$15</definedName>
  </definedNames>
  <calcPr fullCalcOnLoad="1"/>
</workbook>
</file>

<file path=xl/comments2.xml><?xml version="1.0" encoding="utf-8"?>
<comments xmlns="http://schemas.openxmlformats.org/spreadsheetml/2006/main">
  <authors>
    <author>mjanil</author>
  </authors>
  <commentList>
    <comment ref="G30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Na wniosek Skarbnika dodano 27.000 zł 10.11.11</t>
        </r>
      </text>
    </comment>
    <comment ref="G61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dodano 80000 zł na wniosek Sakrbnika 10.11.11</t>
        </r>
      </text>
    </comment>
    <comment ref="G62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dodano 25000 na wniosek Skarbnika 10.11.11</t>
        </r>
      </text>
    </comment>
    <comment ref="G64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dodane na wniosek Skarbnika 10.11.11</t>
        </r>
      </text>
    </comment>
    <comment ref="G101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dodane 100000 zł na wniosek Skarbnika 10.11.11</t>
        </r>
      </text>
    </comment>
  </commentList>
</comments>
</file>

<file path=xl/comments4.xml><?xml version="1.0" encoding="utf-8"?>
<comments xmlns="http://schemas.openxmlformats.org/spreadsheetml/2006/main">
  <authors>
    <author>mjanil</author>
  </authors>
  <commentList>
    <comment ref="L82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2 pralnice 34000, remont łazienki 90000
</t>
        </r>
      </text>
    </comment>
    <comment ref="G35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4000 związek celowy</t>
        </r>
      </text>
    </comment>
    <comment ref="G29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na poziomie 2011</t>
        </r>
      </text>
    </comment>
    <comment ref="F76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średnia z 2011</t>
        </r>
      </text>
    </comment>
    <comment ref="G76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średnia z 2011, dodano 66.000 zł na wniosek Skarbnika 10.11.11</t>
        </r>
      </text>
    </comment>
    <comment ref="G25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odjęto 73.000 zł na wniosek Skarbnika 10.11.11</t>
        </r>
      </text>
    </comment>
    <comment ref="G23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odjęto 10.000 zł na wniosek Skarbnika 10.11.11</t>
        </r>
      </text>
    </comment>
    <comment ref="G38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odjęto 20.000 zł na wniosek Skarbnika 10.11.11</t>
        </r>
      </text>
    </comment>
    <comment ref="F92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odjęte 91.000 zł na wniosek Skarbnika 10.11.11
</t>
        </r>
      </text>
    </comment>
    <comment ref="G92" authorId="0">
      <text>
        <r>
          <rPr>
            <b/>
            <sz val="8"/>
            <rFont val="Tahoma"/>
            <family val="0"/>
          </rPr>
          <t>mjanil:</t>
        </r>
        <r>
          <rPr>
            <sz val="8"/>
            <rFont val="Tahoma"/>
            <family val="0"/>
          </rPr>
          <t xml:space="preserve">
odjeto 9.000 zł na wniosek Skarbnika 10.11.11</t>
        </r>
      </text>
    </comment>
  </commentList>
</comments>
</file>

<file path=xl/sharedStrings.xml><?xml version="1.0" encoding="utf-8"?>
<sst xmlns="http://schemas.openxmlformats.org/spreadsheetml/2006/main" count="647" uniqueCount="328">
  <si>
    <t>DZIAŁ</t>
  </si>
  <si>
    <t>WYSZCZEGÓLNIENIE</t>
  </si>
  <si>
    <t>DOCHODY</t>
  </si>
  <si>
    <t>WYDATKI</t>
  </si>
  <si>
    <t>Ogółem</t>
  </si>
  <si>
    <t>ROLNICTWO I ŁOWIECTWO</t>
  </si>
  <si>
    <t>LEŚNICTWO</t>
  </si>
  <si>
    <t>TRANSPORT I ŁĄCZNOŚĆ</t>
  </si>
  <si>
    <t>GOSPODARKA MIESZKANIOWA</t>
  </si>
  <si>
    <t>DZIAŁALNOŚĆ USŁUGOWA</t>
  </si>
  <si>
    <t>BEZPIECZEŃSTWO PUBLICZNE I OCHRONA PRZECIWPOŻAROWA</t>
  </si>
  <si>
    <t>OBSŁUGA DŁUGU PUBLICZNEGO</t>
  </si>
  <si>
    <t>RÓŻNE ROZLICZENIA</t>
  </si>
  <si>
    <t>OCHRONA ZDROWIA</t>
  </si>
  <si>
    <t>EDUKACYJNA OPIEKA WYCHOWAWCZA</t>
  </si>
  <si>
    <t>OGÓŁEM</t>
  </si>
  <si>
    <t>w tym zadania zlecone</t>
  </si>
  <si>
    <t>POMOC  SPOŁECZNA</t>
  </si>
  <si>
    <t>POZOSTAŁE ZADANIA W ZAKRESIE POLITYKI SPOŁECZNEJ</t>
  </si>
  <si>
    <t>TURYSTYKA</t>
  </si>
  <si>
    <t>Załącznik Nr 1</t>
  </si>
  <si>
    <t>Rady Powiatu Pyrzyckiego</t>
  </si>
  <si>
    <t>010</t>
  </si>
  <si>
    <t>020</t>
  </si>
  <si>
    <t>DOCHODY OD OSÓB PRAWNYCH, OD OSÓB FIZYCZNYCH I OD INNYCH JEDNOSTEK NIEPOSIADAJĄCYCH OSOBOWOŚCI PRAWNEJ ORAZ WYDATKI ZWIĄZANE Z ICH POBOREM</t>
  </si>
  <si>
    <t>KULTURA I OCHRONA DZIEDZICTWA NARODOWEGO</t>
  </si>
  <si>
    <t xml:space="preserve">ADMINISTRACJA PUBLICZNA </t>
  </si>
  <si>
    <t>Załącznik Nr 2</t>
  </si>
  <si>
    <t>PROGNOZOWANE DOCHODY BUDŻETU  POWIATU PYRZYCKIEGO</t>
  </si>
  <si>
    <t>(OGÓŁEM)</t>
  </si>
  <si>
    <t>według działów, rozdziałów klasyfikacji i ważniejszych źródeł</t>
  </si>
  <si>
    <t>w złotych</t>
  </si>
  <si>
    <t>Dział</t>
  </si>
  <si>
    <t>Rozdział</t>
  </si>
  <si>
    <t>§</t>
  </si>
  <si>
    <t>NAZWA PODZIAŁKI KLASYFIKACJI BUDŻETOWEJ</t>
  </si>
  <si>
    <t>z tego:</t>
  </si>
  <si>
    <t>Dochody bieżące</t>
  </si>
  <si>
    <t>w tym:</t>
  </si>
  <si>
    <t>Dochody majątkowe</t>
  </si>
  <si>
    <t>Dochody związane z realizacją zadań własnych</t>
  </si>
  <si>
    <t>Dochody związane z ralizacją zadań z zakresu administracji rządowej oraz innych zadań zleconych ustawami</t>
  </si>
  <si>
    <t>Dochody związane z realizacją zadań z zakresu administracji rządowej na podstawie porozumień z organami tej administracji</t>
  </si>
  <si>
    <t>O10</t>
  </si>
  <si>
    <t>O1005</t>
  </si>
  <si>
    <t>Prace geodezyjno - urządzeniowe na potrzeby rolnictwa</t>
  </si>
  <si>
    <t>Dotacje celowe otrzymane z budżetu państwa na zadania bieżące z zakresu administracji rządowej oraz inne zadania zlecone ustawami realizowane przez powiat</t>
  </si>
  <si>
    <t>2460</t>
  </si>
  <si>
    <t>Środki otrzymane od pozostałych jednostek zaliczanych do sektora finansów publicznych na realizację zadań bieżących jednostek zaliczanych do sektora finansów publicznych</t>
  </si>
  <si>
    <t>Gospodarka gruntami i nieruchomościami</t>
  </si>
  <si>
    <t>O870</t>
  </si>
  <si>
    <t xml:space="preserve">Wpływy ze sprzedaży składników majątkowych 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</si>
  <si>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</si>
  <si>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</si>
  <si>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</si>
  <si>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</si>
  <si>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</si>
  <si>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</si>
  <si>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O420</t>
  </si>
  <si>
    <t>Wpływy z opłaty komunikacyjnej</t>
  </si>
  <si>
    <t>0470</t>
  </si>
  <si>
    <t>Wpływy z opłat za zarząd, użytkowanie i użytkowanie wieczyste nieruchomości</t>
  </si>
  <si>
    <t>0690</t>
  </si>
  <si>
    <t>Wpływy z różnych opłat</t>
  </si>
  <si>
    <t>O750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</si>
  <si>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</si>
  <si>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O830</t>
  </si>
  <si>
    <t>Wpływy z usług</t>
  </si>
  <si>
    <t>0920</t>
  </si>
  <si>
    <t>Pozostałe odsetki</t>
  </si>
  <si>
    <t>Dotacje celowe otrzymane z budżetu państwa na zadania bieżące realizowane przez powiat na podstawie porozumień z organami administracji rządowej</t>
  </si>
  <si>
    <t>Komendy powiatowe Państwowej Straży Pożarnej</t>
  </si>
  <si>
    <t>O920</t>
  </si>
  <si>
    <t>Wpływy z innych opłat stanowiących dochody jednostek samorządu terytorialnego na podstawie ustaw</t>
  </si>
  <si>
    <t>O490</t>
  </si>
  <si>
    <t>Wpływy z innych lokalnych opłat pobieranych przez jednostki samorządu terytorialnego na podstawie odrębnych ustaw</t>
  </si>
  <si>
    <t>Udziały powiatu w podatkach stanowiących dochód budżetu państwa</t>
  </si>
  <si>
    <t>OO10</t>
  </si>
  <si>
    <t>Podatek dochodowy od osób fizycznych</t>
  </si>
  <si>
    <t>OO20</t>
  </si>
  <si>
    <t>Podatek dochodowy od osób prawnych</t>
  </si>
  <si>
    <t>Subwencje ogólne z budżetu państwa</t>
  </si>
  <si>
    <t>OŚWIATA I WYCHOWANIE</t>
  </si>
  <si>
    <t>Szkoły podstawowe specjalne</t>
  </si>
  <si>
    <t>Gimnazja specjalne</t>
  </si>
  <si>
    <t>Licea ogólnokształcące</t>
  </si>
  <si>
    <t>Dochody z najmu i dzierżawy składników majątkowych Skarbu Państwa, jednostek samorządu terytorialnego lub innych jednostek zaliczanych do sektora finansów publicznych oraz innych umów o podobnym charakterze</t>
  </si>
  <si>
    <t>Szkoły zawodowe</t>
  </si>
  <si>
    <t xml:space="preserve">Wpływy z usług </t>
  </si>
  <si>
    <t>O970</t>
  </si>
  <si>
    <t xml:space="preserve">Wpływy z różnych  dochodów </t>
  </si>
  <si>
    <t>Szkoły zawodowe specjalne</t>
  </si>
  <si>
    <t>Składki na ubezpieczenie zdrowotne oraz świadczenia dla osób nieobjętych obowiązkiem ubezpieczenia zdrowotnego</t>
  </si>
  <si>
    <t>Dotacje celowe otrzymane z budżetu państwa na zadania bieżące z zakresu administracji rządowej oraz inne zadania zlecone ustawami realizowane przez powiat, w tym:</t>
  </si>
  <si>
    <t>bezrobotni bez prawa do zasiłku</t>
  </si>
  <si>
    <t>dzieci z placówek opiekuńczo-wychowawczych</t>
  </si>
  <si>
    <t>POMOC SPOŁECZNA</t>
  </si>
  <si>
    <t>Placówki opiekuńczo – wychowawcze</t>
  </si>
  <si>
    <t>Wpływy z różnych dochodów</t>
  </si>
  <si>
    <t>Dotacje celowe otrzymane z powiatu na zadania bieżące realizowane na podstawie porozumień (umów) między jednostkami samorządu terytorialnego</t>
  </si>
  <si>
    <t>Domy pomocy społecznej</t>
  </si>
  <si>
    <t>Dotacje celowe otrzymane z budżetu państwa na realizację bieżących zadań własnych powiatu</t>
  </si>
  <si>
    <t>Zespoły do spraw orzekania o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</si>
  <si>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</si>
  <si>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</si>
  <si>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</si>
  <si>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finsnowanie kosztów wynagrodzenia i składek na ubezpieczenia społeczne pracowników powiatowego urzędu pracy</t>
  </si>
  <si>
    <t>Specjalne ośrodki szkolno – wychowawcze</t>
  </si>
  <si>
    <t>Internaty i bursy szkolne</t>
  </si>
  <si>
    <t>Załącznik Nr 3</t>
  </si>
  <si>
    <t>według głównych źródeł</t>
  </si>
  <si>
    <t>ŹRÓDŁA DOCHODÓW</t>
  </si>
  <si>
    <t>I</t>
  </si>
  <si>
    <t>DOTACJE CELOWE Z BUDŻETU PAŃSTWA</t>
  </si>
  <si>
    <t>II</t>
  </si>
  <si>
    <t xml:space="preserve">SUBWENCJA OGÓLNA </t>
  </si>
  <si>
    <t>Część oświatowa subwencji ogólnej</t>
  </si>
  <si>
    <t>Część wyrównawcza subwencji ogólnej</t>
  </si>
  <si>
    <t>Część równoważąca subwencji ogólnej</t>
  </si>
  <si>
    <t>III</t>
  </si>
  <si>
    <t>ŚRODKI POZYSKANE Z INNYCH ŹRÓDEŁ</t>
  </si>
  <si>
    <t>Środki z Funduszu Pracy otrzymane przez powiat z przeznaczeniem na finansowanie kosztów wynagrodzenia i składek na ubezpieczenie społeczne pracowników powiatowego urzędu pracy</t>
  </si>
  <si>
    <t>IV</t>
  </si>
  <si>
    <t>DOCHODY WŁASNE</t>
  </si>
  <si>
    <t>Pozostałe dochody</t>
  </si>
  <si>
    <t>Załącznik Nr 4</t>
  </si>
  <si>
    <t xml:space="preserve">WYDATKI BUDŻETU POWIATU PYRZYCKIEGO </t>
  </si>
  <si>
    <t>ROZDZIAŁ</t>
  </si>
  <si>
    <t>PLAN WYDATKÓW OGÓŁEM</t>
  </si>
  <si>
    <t>z tego :</t>
  </si>
  <si>
    <t>WYDATKI MAJĄTKOWE</t>
  </si>
  <si>
    <t>Dotacje</t>
  </si>
  <si>
    <t>Wydatki na obsługę długu</t>
  </si>
  <si>
    <t>01005</t>
  </si>
  <si>
    <t>Prace geodezyjno – urządzeniowe na potrzeby rolnictwa</t>
  </si>
  <si>
    <t>O20</t>
  </si>
  <si>
    <t>02001</t>
  </si>
  <si>
    <t>Gospodarka leśna</t>
  </si>
  <si>
    <t xml:space="preserve">Drogi publiczne powiatowe </t>
  </si>
  <si>
    <t>Turystyka</t>
  </si>
  <si>
    <t>Pozostała działalność</t>
  </si>
  <si>
    <t>Ośrodki dokumentacji geodezyjnej i kartograficznej</t>
  </si>
  <si>
    <t xml:space="preserve">Nadzór budowlany </t>
  </si>
  <si>
    <t>pracownicy rządowi - wynagr..+pochodne</t>
  </si>
  <si>
    <t>Rady powiatów</t>
  </si>
  <si>
    <t>Promocja jednostek samorządu terytorialnego</t>
  </si>
  <si>
    <t>Starostwo</t>
  </si>
  <si>
    <t xml:space="preserve">Komendy powiatowe Państwowej Straży Pożarnej </t>
  </si>
  <si>
    <t xml:space="preserve">Rezerwy ogólne i celowe </t>
  </si>
  <si>
    <t>- rezerwy celowe, w tym:</t>
  </si>
  <si>
    <t>Zespół Szkół Nr 1</t>
  </si>
  <si>
    <t>Pryw.LO OMNIBUS</t>
  </si>
  <si>
    <t xml:space="preserve">Pryw.LO Uzupeł.OMNIBUS </t>
  </si>
  <si>
    <t>Zespół Szkół Nr 2 RCKU</t>
  </si>
  <si>
    <t xml:space="preserve">Pryw.Polic.Stud.Zaw.OMNIBUS </t>
  </si>
  <si>
    <t>Specj.Ośr.Szkol.-Wychow.</t>
  </si>
  <si>
    <t>Inne formy kształcenia osobno nie wymienione</t>
  </si>
  <si>
    <t>Ośrodek Edukacyjno - Rehabilitacyjno - Wychowawczy w Nowielinie</t>
  </si>
  <si>
    <t>Dokształcanie i doskonalenie nauczycieli</t>
  </si>
  <si>
    <t>Pow.Urząd Pracy</t>
  </si>
  <si>
    <t>Dom Dziecka</t>
  </si>
  <si>
    <t>Starostwo Powiatowe</t>
  </si>
  <si>
    <t xml:space="preserve">Placówki opiekuńczo – wychowawcze </t>
  </si>
  <si>
    <t>Pow.Centr.Pomocy Rodz.</t>
  </si>
  <si>
    <t>Starostwo - porozumienia</t>
  </si>
  <si>
    <t>Rodziny zastępcze</t>
  </si>
  <si>
    <t>Powiatowe centra pomocy rodzinie</t>
  </si>
  <si>
    <t>Rehabilitacja zawodowa i społeczna osób niepełnosprawnych</t>
  </si>
  <si>
    <t>Powiatowe urzędy pracy</t>
  </si>
  <si>
    <t>Specjalne ośrodki szkolno - wychowawcze</t>
  </si>
  <si>
    <t>Poradnie psychologiczno – pedagogiczne, w tym poradnie specjalistyczne</t>
  </si>
  <si>
    <t xml:space="preserve">Placówki wychowania pozaszkolnego </t>
  </si>
  <si>
    <t>Biblioteki</t>
  </si>
  <si>
    <t>RAZEM</t>
  </si>
  <si>
    <t>Załącznik Nr 5</t>
  </si>
  <si>
    <t>z  tego:</t>
  </si>
  <si>
    <t>Wydatki majątkowe</t>
  </si>
  <si>
    <t>Wynagrodzenia i pochodne od wynagrodzeń</t>
  </si>
  <si>
    <t>O2001</t>
  </si>
  <si>
    <t>- rezerwy ogólne</t>
  </si>
  <si>
    <t>Zespół Szkół Nr 1 w Pyrzycach</t>
  </si>
  <si>
    <t xml:space="preserve">Pryw.L.Ogólnok.Uzupeł."OMNIBUS" </t>
  </si>
  <si>
    <t>Zespół Szkół Nr 2 - RCKU</t>
  </si>
  <si>
    <t>Pryw.Polic.Studium Zawodowe przy C.E."OMNIBUS"- Starostwo Powiatowe w Pyrzycach</t>
  </si>
  <si>
    <t>Specj.Ośr.Szkol.-Wych.</t>
  </si>
  <si>
    <t>Inne formy kształcenia osobno niewymienione</t>
  </si>
  <si>
    <t>Ośr.Edukacyjno-Rehabilitacyjno-Wychowawczy w Nowielinie</t>
  </si>
  <si>
    <t>Placówki opiekuńczo - wychowawcze</t>
  </si>
  <si>
    <t>Dom Dziecka w Czernicach</t>
  </si>
  <si>
    <t>Pow.Centr.Pomocy Rodzinie</t>
  </si>
  <si>
    <t>Dom pomocy społecznej</t>
  </si>
  <si>
    <t>Specjalne ośrodki szkolno-wychowawcze</t>
  </si>
  <si>
    <t>Poradnie psychologiczno-pedagogiczne, w tym poradnie specjalistyczne</t>
  </si>
  <si>
    <t>Placówki wychowania pozaszkolnego</t>
  </si>
  <si>
    <t>Załącznik Nr 6</t>
  </si>
  <si>
    <t xml:space="preserve">związane z realizacją zadań z zakresu administracji rządowej </t>
  </si>
  <si>
    <t>1</t>
  </si>
  <si>
    <t>2</t>
  </si>
  <si>
    <t>3</t>
  </si>
  <si>
    <t>4</t>
  </si>
  <si>
    <t>5</t>
  </si>
  <si>
    <t>6</t>
  </si>
  <si>
    <t>7</t>
  </si>
  <si>
    <t>8</t>
  </si>
  <si>
    <t xml:space="preserve">DZIAŁALNOŚĆ USŁUGOWA </t>
  </si>
  <si>
    <t>Składki na ubezpieczenia zdrowotne oraz świadczenia dla osób nieobjętych obowiązkiem ubezpieczenia zdrowotnego</t>
  </si>
  <si>
    <t>POZOSTALE ZADANIA W ZAKRESIE POLITYKI SPOŁECZNEJ</t>
  </si>
  <si>
    <t>Załącznik Nr 7</t>
  </si>
  <si>
    <t>WYDATKI BUDŻETU POWIATU PYRZYCKIEGO</t>
  </si>
  <si>
    <t>związane z realizacją zadań z zakresu administracji rządowej</t>
  </si>
  <si>
    <t>Załącznik Nr 8</t>
  </si>
  <si>
    <t xml:space="preserve">Dział </t>
  </si>
  <si>
    <t xml:space="preserve">Rozdział </t>
  </si>
  <si>
    <t>wydatki bieżące</t>
  </si>
  <si>
    <t>Plan                     wydatków ogółem</t>
  </si>
  <si>
    <t>w tym :</t>
  </si>
  <si>
    <t>Wydatki z tutułu poręczeń i gwarancji</t>
  </si>
  <si>
    <t>Drogi publiczne powiatowe</t>
  </si>
  <si>
    <t>852</t>
  </si>
  <si>
    <t>85201</t>
  </si>
  <si>
    <t>Placówki opiekuńczo wychowawcze</t>
  </si>
  <si>
    <t>Kwota</t>
  </si>
  <si>
    <t>Kwota dotacji w zł</t>
  </si>
  <si>
    <t>OŚWIATA  I  WYCHOWANIE</t>
  </si>
  <si>
    <t>- Prywatne Liceum Ogólnokształcące przy C.E. „OMNIBUS” Pyrzyce</t>
  </si>
  <si>
    <t>Dotacja podmiotowa z budżetu dla niepublicznej jednostki systemu oświaty</t>
  </si>
  <si>
    <t>- Prywatne Liceum Ogólnokształcące Uzupełniające przy C.E. „OMNIBUS” , Pyrzyce</t>
  </si>
  <si>
    <t>- Prywatne Policealne Studium Zawodowe przy C.E. „OMNIBUS”, Pyrzyce</t>
  </si>
  <si>
    <t>- Ośrodek Edukacyjno – Rehabilitacyjno - Wychowawczy w Nowielinie</t>
  </si>
  <si>
    <t xml:space="preserve">PRZYCHODY I ROZCHODY </t>
  </si>
  <si>
    <t xml:space="preserve"> BUDŻETU POWIATU PYRZYCKIEGO</t>
  </si>
  <si>
    <t>Lp.</t>
  </si>
  <si>
    <t>Treść</t>
  </si>
  <si>
    <t>Klasyfikacja            wg §</t>
  </si>
  <si>
    <t>Przychody ogółem</t>
  </si>
  <si>
    <t>x</t>
  </si>
  <si>
    <t>Rozchody ogółem</t>
  </si>
  <si>
    <t>Różnica przychodów nad rozchodami</t>
  </si>
  <si>
    <t xml:space="preserve">- rezerwy ogólne </t>
  </si>
  <si>
    <t xml:space="preserve">DOCHODY I WYDATKI BUDŻETU POWIATU </t>
  </si>
  <si>
    <t xml:space="preserve">na finansowanie zadań własnych przekazanych na podstawie </t>
  </si>
  <si>
    <t>porozumień do realizacji innym jednostkom samorządu terytorialnego</t>
  </si>
  <si>
    <t>0960</t>
  </si>
  <si>
    <t>- Prywatne Liceum Ogólnokształcące w Kozielicach</t>
  </si>
  <si>
    <t xml:space="preserve">OŚWIATA I WYCHOWANIE </t>
  </si>
  <si>
    <t>Obsługa papierów wartościowych, kredytów i pożyczek jednostek samorządu terytorialnego</t>
  </si>
  <si>
    <t>Wykup papierów wartościowych (obligacji)</t>
  </si>
  <si>
    <t>* Gmina Pyrzyce</t>
  </si>
  <si>
    <r>
      <t xml:space="preserve">Część </t>
    </r>
    <r>
      <rPr>
        <b/>
        <sz val="10"/>
        <rFont val="Comic Sans MS"/>
        <family val="4"/>
      </rPr>
      <t xml:space="preserve">oświatowa </t>
    </r>
    <r>
      <rPr>
        <sz val="10"/>
        <rFont val="Comic Sans MS"/>
        <family val="4"/>
      </rPr>
      <t>subwencji ogólnej dla jednostek samorządu terytorialnego</t>
    </r>
  </si>
  <si>
    <r>
      <t xml:space="preserve">Część </t>
    </r>
    <r>
      <rPr>
        <b/>
        <sz val="10"/>
        <rFont val="Comic Sans MS"/>
        <family val="4"/>
      </rPr>
      <t>wyrównawcza</t>
    </r>
    <r>
      <rPr>
        <sz val="10"/>
        <rFont val="Comic Sans MS"/>
        <family val="4"/>
      </rPr>
      <t xml:space="preserve"> subwencji ogólnej dla powiatów </t>
    </r>
  </si>
  <si>
    <r>
      <t xml:space="preserve">Część </t>
    </r>
    <r>
      <rPr>
        <b/>
        <sz val="10"/>
        <rFont val="Comic Sans MS"/>
        <family val="4"/>
      </rPr>
      <t>równoważąca</t>
    </r>
    <r>
      <rPr>
        <sz val="10"/>
        <rFont val="Comic Sans MS"/>
        <family val="4"/>
      </rPr>
      <t xml:space="preserve"> subwencji ogólnej dla powiatów </t>
    </r>
  </si>
  <si>
    <r>
      <t>Wpływy z usług</t>
    </r>
    <r>
      <rPr>
        <b/>
        <sz val="10"/>
        <rFont val="Comic Sans MS"/>
        <family val="4"/>
      </rPr>
      <t xml:space="preserve"> </t>
    </r>
  </si>
  <si>
    <r>
      <t>Dotacje celowe otrzymane z budżetu państwa na zadania z zakresu administracji rządowej oraz inne zadania zlecone ustawami realizowane przez powiat</t>
    </r>
    <r>
      <rPr>
        <b/>
        <sz val="10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§ 2110, § 6410</t>
    </r>
  </si>
  <si>
    <r>
      <t xml:space="preserve">Dotacje celowe otrzymane z budżetu państwa na realizację bieżących zadań własnych powiatu </t>
    </r>
    <r>
      <rPr>
        <b/>
        <sz val="10"/>
        <color indexed="9"/>
        <rFont val="Comic Sans MS"/>
        <family val="4"/>
      </rPr>
      <t>§ 2130</t>
    </r>
  </si>
  <si>
    <r>
      <t xml:space="preserve">Dotacje celowe otrzymane z budżetu państwa na zadania bieżące realizowane przez powiat na podstawie porozumień z organami administracji rządowej </t>
    </r>
    <r>
      <rPr>
        <b/>
        <sz val="10"/>
        <color indexed="9"/>
        <rFont val="Comic Sans MS"/>
        <family val="4"/>
      </rPr>
      <t>§ 2120</t>
    </r>
  </si>
  <si>
    <r>
      <t xml:space="preserve">Dotacje celowe otrzymane z budżetu państwa na realizację inwestycji i zakupów inwestycyjnych własnych powiatu </t>
    </r>
    <r>
      <rPr>
        <b/>
        <sz val="10"/>
        <color indexed="9"/>
        <rFont val="Comic Sans MS"/>
        <family val="4"/>
      </rPr>
      <t>§ 6430</t>
    </r>
  </si>
  <si>
    <r>
      <t xml:space="preserve">Środki otrzymane od pozostałych jednostek zaliczanych do sektora finansów publicznych na realizację zadań bieżących jednostek zaliczanych do sektora finansów publicznych </t>
    </r>
    <r>
      <rPr>
        <b/>
        <sz val="10"/>
        <color indexed="9"/>
        <rFont val="Comic Sans MS"/>
        <family val="4"/>
      </rPr>
      <t>§ 2460</t>
    </r>
  </si>
  <si>
    <r>
      <t xml:space="preserve">Udziały powiatów w podatkach stanowiących dochód budżetu państwa – udział w podatku dochodowym od osób fizycznych </t>
    </r>
    <r>
      <rPr>
        <b/>
        <sz val="10"/>
        <color indexed="9"/>
        <rFont val="Comic Sans MS"/>
        <family val="4"/>
      </rPr>
      <t>§ 0010</t>
    </r>
  </si>
  <si>
    <r>
      <t>Udziały powiatów w podatkach stanowiących dochód budżetu państwa – udział w podatku dochodowym od osób prawnych</t>
    </r>
    <r>
      <rPr>
        <sz val="10"/>
        <color indexed="9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§ 0020</t>
    </r>
  </si>
  <si>
    <r>
      <t xml:space="preserve">Dotacje celowe otrzymane z powiatu na zadania bieżące realizowane na podstawie porozumień (umów) między jednostkami samorządu terytorialnego </t>
    </r>
    <r>
      <rPr>
        <b/>
        <sz val="10"/>
        <color indexed="9"/>
        <rFont val="Comic Sans MS"/>
        <family val="4"/>
      </rPr>
      <t>§ 2320</t>
    </r>
  </si>
  <si>
    <r>
      <t xml:space="preserve">Wpływy z opłat komunikacyjnych </t>
    </r>
    <r>
      <rPr>
        <b/>
        <sz val="10"/>
        <color indexed="9"/>
        <rFont val="Comic Sans MS"/>
        <family val="4"/>
      </rPr>
      <t>§ 0420</t>
    </r>
  </si>
  <si>
    <r>
      <t>Opłaty za pobyt w Domu Pomocy Społecznej</t>
    </r>
    <r>
      <rPr>
        <sz val="10"/>
        <color indexed="9"/>
        <rFont val="Comic Sans MS"/>
        <family val="4"/>
      </rPr>
      <t xml:space="preserve"> </t>
    </r>
    <r>
      <rPr>
        <b/>
        <sz val="10"/>
        <color indexed="9"/>
        <rFont val="Comic Sans MS"/>
        <family val="4"/>
      </rPr>
      <t>85202 § 0830</t>
    </r>
  </si>
  <si>
    <t>KWOTA           W  ZŁ</t>
  </si>
  <si>
    <t>UDZIAŁ          W %</t>
  </si>
  <si>
    <t>Pryw.L.Ogólnok."OMNIBUS" - Starostwo Powiatowe w Pyrzycach</t>
  </si>
  <si>
    <t>Załącznik Nr 10</t>
  </si>
  <si>
    <t>0580</t>
  </si>
  <si>
    <t>Grzywny i inne kary pieniężne od osób prawnych i innych jednostek organizacyjnych</t>
  </si>
  <si>
    <t>Jednostki specjalistycznego poradnictwa, mieszkania chronione i ośrodki interwencji kryzysowej</t>
  </si>
  <si>
    <t>Wpływy z roznych opłat</t>
  </si>
  <si>
    <t>Pozostała dziłalność</t>
  </si>
  <si>
    <t>Zadania w zakresie przeciwdziałania przemocy w rodzinie</t>
  </si>
  <si>
    <t>Kwalifikacja wojskowa</t>
  </si>
  <si>
    <t>lp.</t>
  </si>
  <si>
    <t>Prywatne LO w Kozielicach</t>
  </si>
  <si>
    <t>deficyt</t>
  </si>
  <si>
    <t>Dotacje celowe otrzymane z gminy na zadania bieżące realizowane na podstawie na podstawie porozumień (umów) między jednostkami samorządu terytorialnego</t>
  </si>
  <si>
    <r>
      <t xml:space="preserve">Dotacje celowe otrzymane z gminy na zadania bieżące realizowane na podstawie porozumień (umów) między jednostkami samorządu terytorialnego </t>
    </r>
    <r>
      <rPr>
        <b/>
        <sz val="10"/>
        <color indexed="9"/>
        <rFont val="Comic Sans MS"/>
        <family val="4"/>
      </rPr>
      <t>§ 2310</t>
    </r>
  </si>
  <si>
    <t>Otrzymane spadki, zapisy i darowizny w postaci pieniężnej</t>
  </si>
  <si>
    <t>Liceum dla dorosłych przy ZS 1</t>
  </si>
  <si>
    <t>Liceum dla dorosłych przy ZS nr 1</t>
  </si>
  <si>
    <t>Warsztaty szkolne</t>
  </si>
  <si>
    <t>Gospodarka komunalna i ochrona środowiska</t>
  </si>
  <si>
    <t>Wpływy i wydatki związane z gormadzeniem środków z opłat i kar za korzystanie ze środowiska</t>
  </si>
  <si>
    <t>GOSPODARKA KOMUNALNA I OCHRONA ŚRODOWISKA</t>
  </si>
  <si>
    <t>Dotacje celowe w ramach programów finansowanych z udziałem środków europejskich oraz środków, o których mowa w art. 5 ust. 1 pkt 3 oraz ust. 3 pkt 5 i 6 ustawy, lub płatności w ramach budżetu środków europejskich</t>
  </si>
  <si>
    <t>2007</t>
  </si>
  <si>
    <t>Lokalny punkt informacyjny</t>
  </si>
  <si>
    <t>Zespoły do spraw o orzekania o niepełnosprawności</t>
  </si>
  <si>
    <t>Wydatki na programy finansowane z udziałem środków pochodzących z budżetu UE</t>
  </si>
  <si>
    <t>KULTURA FIZYCZNA</t>
  </si>
  <si>
    <t xml:space="preserve">KULTURA FIZYCZNA </t>
  </si>
  <si>
    <t>Papiery wartościowe (obligacje)</t>
  </si>
  <si>
    <t>Świadczenia na rzecz osób fizycznych</t>
  </si>
  <si>
    <t>wydatki jednostek budżetowych</t>
  </si>
  <si>
    <t>Wydatki związane z realizacją zadań statutowych</t>
  </si>
  <si>
    <t>WYDATKI BIEŻĄCE w tym:</t>
  </si>
  <si>
    <t>9</t>
  </si>
  <si>
    <t>Załącznik Nr 9</t>
  </si>
  <si>
    <t>(OGÓŁEM) W 2012 r.</t>
  </si>
  <si>
    <t xml:space="preserve">NA 2012 r. </t>
  </si>
  <si>
    <t>PROGNOZOWANE DOCHODY BUDŻETU POWIATU PYRZYCKIEGO W 2012 r.</t>
  </si>
  <si>
    <t>w 2012 r.</t>
  </si>
  <si>
    <t>związane z realizacją zadań własnych w 2012 r.</t>
  </si>
  <si>
    <t>oraz innych zadań zleconych ustawami w 2012 r.</t>
  </si>
  <si>
    <t>na podstawie porozumień z organami tej administracji w 2012 r.</t>
  </si>
  <si>
    <t>DOTACJE Z  BUDŻETU POWIATU PYRZYCKIEGO W ROKU 2012</t>
  </si>
  <si>
    <t>DOTACJE Z BUDŻETU POWIATU PYRZYCKIEGO W ROKU 2012</t>
  </si>
  <si>
    <t xml:space="preserve">  w  2012 r.</t>
  </si>
  <si>
    <t>2887</t>
  </si>
  <si>
    <t>2889</t>
  </si>
  <si>
    <t>Dotacje celowe otrzymane przez jednostkę samorządu terytorialnego od innej jednostki samorządu terytorialnego będącej instytucją wdrażającą na zadania bieżące realizowane na podstawie porozumień (umów)</t>
  </si>
  <si>
    <t>Urzędy marszałkowskie</t>
  </si>
  <si>
    <t>ZS nr 2</t>
  </si>
  <si>
    <t>Piramida kompetencji</t>
  </si>
  <si>
    <t>Dotacje celowe otrzymane z budżetu państwa na inwestycje i zakupy inwestycyjne z zakresu administracji rządowej oraz inne zadania zlecone ustawami realizowane przez powiat</t>
  </si>
  <si>
    <t xml:space="preserve">- rezerwa na zarządzanie kryzysowe </t>
  </si>
  <si>
    <t>Wolne środki</t>
  </si>
  <si>
    <t>Spłaty kredytów</t>
  </si>
  <si>
    <t>w tym majątkowe:</t>
  </si>
  <si>
    <t>DOTACJE Z POWIATÓW</t>
  </si>
  <si>
    <t>DOTACJE Z GMIN</t>
  </si>
  <si>
    <t>V</t>
  </si>
  <si>
    <t>Dotacja podmiotowa z budżetu dla jednostek niezaliczanych do sektora finansów publicznych</t>
  </si>
  <si>
    <t>Dotacja celowa z budżetu na finansowanie lub dofinansowanie zadań zleconych do realizacji stowarzyszeniom</t>
  </si>
  <si>
    <t>dla jednostek spoza sektora finansów publicznych</t>
  </si>
  <si>
    <t>do uchwały Nr XIII/70/11</t>
  </si>
  <si>
    <t>z dnia 28 grudnia 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</si>
</sst>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name val="Times New Roman"/>
      <family val="1"/>
    </font>
    <font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Arial CE"/>
      <family val="2"/>
    </font>
    <font>
      <sz val="10"/>
      <color indexed="56"/>
      <name val="Arial CE"/>
      <family val="2"/>
    </font>
    <font>
      <i/>
      <u val="single"/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11"/>
      <name val="Comic Sans MS"/>
      <family val="4"/>
    </font>
    <font>
      <sz val="8"/>
      <name val="Comic Sans MS"/>
      <family val="4"/>
    </font>
    <font>
      <b/>
      <i/>
      <sz val="10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b/>
      <sz val="10"/>
      <color indexed="9"/>
      <name val="Comic Sans MS"/>
      <family val="4"/>
    </font>
    <font>
      <sz val="10"/>
      <color indexed="9"/>
      <name val="Comic Sans MS"/>
      <family val="4"/>
    </font>
    <font>
      <b/>
      <sz val="8"/>
      <name val="Comic Sans MS"/>
      <family val="4"/>
    </font>
    <font>
      <b/>
      <sz val="9"/>
      <name val="Comic Sans MS"/>
      <family val="4"/>
    </font>
    <font>
      <i/>
      <sz val="9"/>
      <name val="Comic Sans MS"/>
      <family val="4"/>
    </font>
    <font>
      <sz val="10"/>
      <color indexed="10"/>
      <name val="Comic Sans MS"/>
      <family val="4"/>
    </font>
    <font>
      <i/>
      <u val="single"/>
      <sz val="8"/>
      <name val="Comic Sans MS"/>
      <family val="4"/>
    </font>
    <font>
      <i/>
      <sz val="8"/>
      <name val="Comic Sans MS"/>
      <family val="4"/>
    </font>
    <font>
      <sz val="9"/>
      <name val="Comic Sans MS"/>
      <family val="4"/>
    </font>
    <font>
      <b/>
      <i/>
      <sz val="11"/>
      <name val="Comic Sans MS"/>
      <family val="4"/>
    </font>
    <font>
      <sz val="8"/>
      <name val="Arial CE"/>
      <family val="0"/>
    </font>
    <font>
      <b/>
      <sz val="7"/>
      <name val="Comic Sans MS"/>
      <family val="4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Comic Sans MS"/>
      <family val="4"/>
    </font>
    <font>
      <b/>
      <sz val="11"/>
      <color indexed="9"/>
      <name val="Comic Sans MS"/>
      <family val="4"/>
    </font>
    <font>
      <sz val="10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11"/>
      <color theme="0"/>
      <name val="Comic Sans MS"/>
      <family val="4"/>
    </font>
    <font>
      <b/>
      <sz val="10"/>
      <color theme="0"/>
      <name val="Comic Sans MS"/>
      <family val="4"/>
    </font>
    <font>
      <sz val="10"/>
      <color theme="0"/>
      <name val="Arial CE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thick"/>
      <bottom style="medium"/>
    </border>
    <border>
      <left style="thin"/>
      <right style="thin"/>
      <top style="thin"/>
      <bottom style="thin">
        <color theme="1"/>
      </bottom>
    </border>
    <border>
      <left style="medium"/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medium"/>
      <top>
        <color indexed="63"/>
      </top>
      <bottom style="thin">
        <color theme="1"/>
      </bottom>
    </border>
    <border>
      <left style="thin"/>
      <right style="thin"/>
      <top style="double"/>
      <bottom style="thin">
        <color theme="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 style="thin">
        <color theme="1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64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6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right"/>
    </xf>
    <xf numFmtId="3" fontId="6" fillId="0" borderId="10" xfId="0" applyNumberFormat="1" applyFont="1" applyFill="1" applyBorder="1" applyAlignment="1">
      <alignment/>
    </xf>
    <xf numFmtId="10" fontId="6" fillId="0" borderId="1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 horizontal="right"/>
    </xf>
    <xf numFmtId="3" fontId="11" fillId="0" borderId="17" xfId="0" applyNumberFormat="1" applyFont="1" applyFill="1" applyBorder="1" applyAlignment="1">
      <alignment horizontal="right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wrapText="1"/>
    </xf>
    <xf numFmtId="3" fontId="11" fillId="0" borderId="18" xfId="0" applyNumberFormat="1" applyFont="1" applyFill="1" applyBorder="1" applyAlignment="1">
      <alignment horizontal="right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 wrapText="1"/>
    </xf>
    <xf numFmtId="3" fontId="11" fillId="0" borderId="19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23" xfId="0" applyNumberFormat="1" applyFont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 wrapText="1"/>
    </xf>
    <xf numFmtId="1" fontId="15" fillId="0" borderId="27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/>
    </xf>
    <xf numFmtId="1" fontId="15" fillId="33" borderId="26" xfId="0" applyNumberFormat="1" applyFont="1" applyFill="1" applyBorder="1" applyAlignment="1">
      <alignment horizontal="center" vertical="center"/>
    </xf>
    <xf numFmtId="1" fontId="15" fillId="0" borderId="26" xfId="0" applyNumberFormat="1" applyFont="1" applyFill="1" applyBorder="1" applyAlignment="1">
      <alignment horizontal="center" vertical="center" wrapText="1"/>
    </xf>
    <xf numFmtId="0" fontId="16" fillId="0" borderId="28" xfId="0" applyNumberFormat="1" applyFont="1" applyFill="1" applyBorder="1" applyAlignment="1">
      <alignment horizontal="center" vertical="center"/>
    </xf>
    <xf numFmtId="0" fontId="16" fillId="0" borderId="28" xfId="0" applyNumberFormat="1" applyFont="1" applyFill="1" applyBorder="1" applyAlignment="1">
      <alignment vertical="center"/>
    </xf>
    <xf numFmtId="3" fontId="16" fillId="0" borderId="29" xfId="0" applyNumberFormat="1" applyFont="1" applyFill="1" applyBorder="1" applyAlignment="1">
      <alignment/>
    </xf>
    <xf numFmtId="3" fontId="16" fillId="33" borderId="29" xfId="0" applyNumberFormat="1" applyFont="1" applyFill="1" applyBorder="1" applyAlignment="1">
      <alignment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vertical="center"/>
    </xf>
    <xf numFmtId="0" fontId="11" fillId="0" borderId="25" xfId="0" applyNumberFormat="1" applyFont="1" applyFill="1" applyBorder="1" applyAlignment="1">
      <alignment vertical="center" wrapText="1"/>
    </xf>
    <xf numFmtId="3" fontId="11" fillId="0" borderId="25" xfId="0" applyNumberFormat="1" applyFont="1" applyFill="1" applyBorder="1" applyAlignment="1">
      <alignment/>
    </xf>
    <xf numFmtId="3" fontId="11" fillId="33" borderId="25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>
      <alignment vertical="center" wrapText="1"/>
    </xf>
    <xf numFmtId="3" fontId="11" fillId="0" borderId="30" xfId="0" applyNumberFormat="1" applyFont="1" applyFill="1" applyBorder="1" applyAlignment="1">
      <alignment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vertical="center"/>
    </xf>
    <xf numFmtId="0" fontId="16" fillId="0" borderId="29" xfId="0" applyNumberFormat="1" applyFont="1" applyFill="1" applyBorder="1" applyAlignment="1">
      <alignment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vertical="center" wrapText="1"/>
    </xf>
    <xf numFmtId="0" fontId="16" fillId="0" borderId="29" xfId="0" applyNumberFormat="1" applyFont="1" applyFill="1" applyBorder="1" applyAlignment="1">
      <alignment horizontal="center" vertical="center"/>
    </xf>
    <xf numFmtId="0" fontId="11" fillId="0" borderId="30" xfId="0" applyNumberFormat="1" applyFont="1" applyFill="1" applyBorder="1" applyAlignment="1">
      <alignment horizontal="center" vertical="center"/>
    </xf>
    <xf numFmtId="3" fontId="11" fillId="0" borderId="26" xfId="0" applyNumberFormat="1" applyFont="1" applyFill="1" applyBorder="1" applyAlignment="1">
      <alignment/>
    </xf>
    <xf numFmtId="0" fontId="11" fillId="0" borderId="30" xfId="0" applyNumberFormat="1" applyFont="1" applyFill="1" applyBorder="1" applyAlignment="1">
      <alignment vertical="center"/>
    </xf>
    <xf numFmtId="0" fontId="11" fillId="0" borderId="27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/>
    </xf>
    <xf numFmtId="3" fontId="11" fillId="33" borderId="27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49" fontId="11" fillId="0" borderId="30" xfId="0" applyNumberFormat="1" applyFont="1" applyFill="1" applyBorder="1" applyAlignment="1">
      <alignment vertical="center" wrapText="1"/>
    </xf>
    <xf numFmtId="0" fontId="16" fillId="0" borderId="29" xfId="0" applyNumberFormat="1" applyFont="1" applyFill="1" applyBorder="1" applyAlignment="1">
      <alignment vertical="center" wrapText="1"/>
    </xf>
    <xf numFmtId="0" fontId="11" fillId="0" borderId="27" xfId="0" applyNumberFormat="1" applyFont="1" applyFill="1" applyBorder="1" applyAlignment="1">
      <alignment vertical="center"/>
    </xf>
    <xf numFmtId="3" fontId="16" fillId="0" borderId="28" xfId="0" applyNumberFormat="1" applyFont="1" applyFill="1" applyBorder="1" applyAlignment="1">
      <alignment/>
    </xf>
    <xf numFmtId="3" fontId="16" fillId="33" borderId="28" xfId="0" applyNumberFormat="1" applyFont="1" applyFill="1" applyBorder="1" applyAlignment="1">
      <alignment/>
    </xf>
    <xf numFmtId="3" fontId="16" fillId="33" borderId="30" xfId="0" applyNumberFormat="1" applyFont="1" applyFill="1" applyBorder="1" applyAlignment="1">
      <alignment/>
    </xf>
    <xf numFmtId="3" fontId="16" fillId="0" borderId="30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vertical="center"/>
    </xf>
    <xf numFmtId="3" fontId="11" fillId="33" borderId="26" xfId="0" applyNumberFormat="1" applyFont="1" applyFill="1" applyBorder="1" applyAlignment="1">
      <alignment/>
    </xf>
    <xf numFmtId="3" fontId="16" fillId="33" borderId="24" xfId="0" applyNumberFormat="1" applyFont="1" applyFill="1" applyBorder="1" applyAlignment="1">
      <alignment/>
    </xf>
    <xf numFmtId="0" fontId="11" fillId="0" borderId="29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/>
    </xf>
    <xf numFmtId="0" fontId="11" fillId="0" borderId="31" xfId="0" applyNumberFormat="1" applyFont="1" applyFill="1" applyBorder="1" applyAlignment="1">
      <alignment vertical="center"/>
    </xf>
    <xf numFmtId="3" fontId="11" fillId="0" borderId="31" xfId="0" applyNumberFormat="1" applyFont="1" applyFill="1" applyBorder="1" applyAlignment="1">
      <alignment/>
    </xf>
    <xf numFmtId="3" fontId="11" fillId="33" borderId="3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9" xfId="0" applyFont="1" applyBorder="1" applyAlignment="1">
      <alignment/>
    </xf>
    <xf numFmtId="3" fontId="12" fillId="0" borderId="29" xfId="0" applyNumberFormat="1" applyFont="1" applyBorder="1" applyAlignment="1">
      <alignment/>
    </xf>
    <xf numFmtId="10" fontId="12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/>
    </xf>
    <xf numFmtId="0" fontId="11" fillId="0" borderId="25" xfId="0" applyFont="1" applyBorder="1" applyAlignment="1">
      <alignment wrapText="1"/>
    </xf>
    <xf numFmtId="10" fontId="11" fillId="0" borderId="37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/>
    </xf>
    <xf numFmtId="0" fontId="11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164" fontId="11" fillId="0" borderId="37" xfId="0" applyNumberFormat="1" applyFont="1" applyBorder="1" applyAlignment="1">
      <alignment horizont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10" fontId="11" fillId="0" borderId="42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10" fontId="11" fillId="0" borderId="43" xfId="0" applyNumberFormat="1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0" xfId="0" applyFont="1" applyBorder="1" applyAlignment="1">
      <alignment wrapText="1"/>
    </xf>
    <xf numFmtId="0" fontId="11" fillId="0" borderId="38" xfId="0" applyFont="1" applyBorder="1" applyAlignment="1">
      <alignment/>
    </xf>
    <xf numFmtId="3" fontId="11" fillId="0" borderId="30" xfId="0" applyNumberFormat="1" applyFont="1" applyBorder="1" applyAlignment="1">
      <alignment/>
    </xf>
    <xf numFmtId="0" fontId="16" fillId="0" borderId="33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3" fontId="11" fillId="33" borderId="24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center" wrapText="1"/>
    </xf>
    <xf numFmtId="0" fontId="11" fillId="34" borderId="30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vertical="center" wrapText="1"/>
    </xf>
    <xf numFmtId="3" fontId="11" fillId="34" borderId="30" xfId="0" applyNumberFormat="1" applyFont="1" applyFill="1" applyBorder="1" applyAlignment="1">
      <alignment/>
    </xf>
    <xf numFmtId="0" fontId="11" fillId="0" borderId="26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 wrapText="1"/>
    </xf>
    <xf numFmtId="0" fontId="11" fillId="34" borderId="24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vertical="center" wrapText="1"/>
    </xf>
    <xf numFmtId="3" fontId="11" fillId="34" borderId="26" xfId="0" applyNumberFormat="1" applyFont="1" applyFill="1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vertical="center" wrapText="1"/>
    </xf>
    <xf numFmtId="49" fontId="23" fillId="0" borderId="30" xfId="0" applyNumberFormat="1" applyFont="1" applyFill="1" applyBorder="1" applyAlignment="1">
      <alignment vertical="center" wrapText="1"/>
    </xf>
    <xf numFmtId="3" fontId="11" fillId="34" borderId="24" xfId="0" applyNumberFormat="1" applyFont="1" applyFill="1" applyBorder="1" applyAlignment="1">
      <alignment/>
    </xf>
    <xf numFmtId="0" fontId="11" fillId="0" borderId="29" xfId="0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horizontal="center" vertical="center"/>
    </xf>
    <xf numFmtId="3" fontId="16" fillId="0" borderId="29" xfId="0" applyNumberFormat="1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/>
    </xf>
    <xf numFmtId="3" fontId="16" fillId="35" borderId="12" xfId="0" applyNumberFormat="1" applyFont="1" applyFill="1" applyBorder="1" applyAlignment="1">
      <alignment/>
    </xf>
    <xf numFmtId="0" fontId="25" fillId="0" borderId="0" xfId="0" applyFont="1" applyAlignment="1">
      <alignment horizontal="right"/>
    </xf>
    <xf numFmtId="0" fontId="26" fillId="0" borderId="26" xfId="0" applyFont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9" xfId="0" applyFont="1" applyBorder="1" applyAlignment="1">
      <alignment vertical="center"/>
    </xf>
    <xf numFmtId="0" fontId="16" fillId="0" borderId="29" xfId="0" applyFont="1" applyBorder="1" applyAlignment="1">
      <alignment vertical="center" wrapText="1"/>
    </xf>
    <xf numFmtId="3" fontId="16" fillId="0" borderId="29" xfId="0" applyNumberFormat="1" applyFont="1" applyBorder="1" applyAlignment="1">
      <alignment/>
    </xf>
    <xf numFmtId="0" fontId="11" fillId="0" borderId="25" xfId="0" applyFont="1" applyBorder="1" applyAlignment="1">
      <alignment vertical="center" wrapText="1"/>
    </xf>
    <xf numFmtId="3" fontId="11" fillId="0" borderId="25" xfId="0" applyNumberFormat="1" applyFont="1" applyBorder="1" applyAlignment="1">
      <alignment/>
    </xf>
    <xf numFmtId="0" fontId="11" fillId="0" borderId="24" xfId="0" applyFont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1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wrapText="1"/>
    </xf>
    <xf numFmtId="0" fontId="11" fillId="0" borderId="45" xfId="0" applyFont="1" applyBorder="1" applyAlignment="1">
      <alignment horizontal="center" vertical="center"/>
    </xf>
    <xf numFmtId="0" fontId="11" fillId="0" borderId="29" xfId="0" applyFont="1" applyBorder="1" applyAlignment="1">
      <alignment wrapText="1"/>
    </xf>
    <xf numFmtId="3" fontId="11" fillId="0" borderId="45" xfId="0" applyNumberFormat="1" applyFont="1" applyFill="1" applyBorder="1" applyAlignment="1">
      <alignment/>
    </xf>
    <xf numFmtId="3" fontId="11" fillId="33" borderId="45" xfId="0" applyNumberFormat="1" applyFont="1" applyFill="1" applyBorder="1" applyAlignment="1">
      <alignment/>
    </xf>
    <xf numFmtId="3" fontId="11" fillId="0" borderId="29" xfId="0" applyNumberFormat="1" applyFont="1" applyFill="1" applyBorder="1" applyAlignment="1">
      <alignment/>
    </xf>
    <xf numFmtId="0" fontId="16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27" fillId="0" borderId="29" xfId="0" applyFont="1" applyBorder="1" applyAlignment="1">
      <alignment vertical="center" wrapText="1"/>
    </xf>
    <xf numFmtId="3" fontId="11" fillId="33" borderId="29" xfId="0" applyNumberFormat="1" applyFont="1" applyFill="1" applyBorder="1" applyAlignment="1">
      <alignment/>
    </xf>
    <xf numFmtId="0" fontId="11" fillId="0" borderId="30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3" fontId="16" fillId="0" borderId="46" xfId="0" applyNumberFormat="1" applyFont="1" applyBorder="1" applyAlignment="1">
      <alignment/>
    </xf>
    <xf numFmtId="3" fontId="16" fillId="35" borderId="46" xfId="0" applyNumberFormat="1" applyFont="1" applyFill="1" applyBorder="1" applyAlignment="1">
      <alignment/>
    </xf>
    <xf numFmtId="49" fontId="27" fillId="0" borderId="47" xfId="0" applyNumberFormat="1" applyFont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/>
    </xf>
    <xf numFmtId="49" fontId="27" fillId="0" borderId="48" xfId="0" applyNumberFormat="1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 wrapText="1"/>
    </xf>
    <xf numFmtId="49" fontId="27" fillId="33" borderId="50" xfId="0" applyNumberFormat="1" applyFont="1" applyFill="1" applyBorder="1" applyAlignment="1">
      <alignment horizontal="center" vertical="center" wrapText="1"/>
    </xf>
    <xf numFmtId="49" fontId="27" fillId="33" borderId="51" xfId="0" applyNumberFormat="1" applyFont="1" applyFill="1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/>
    </xf>
    <xf numFmtId="0" fontId="16" fillId="0" borderId="52" xfId="0" applyFont="1" applyBorder="1" applyAlignment="1">
      <alignment vertical="center"/>
    </xf>
    <xf numFmtId="0" fontId="16" fillId="0" borderId="50" xfId="0" applyFont="1" applyBorder="1" applyAlignment="1">
      <alignment vertical="center" wrapText="1"/>
    </xf>
    <xf numFmtId="3" fontId="16" fillId="0" borderId="52" xfId="0" applyNumberFormat="1" applyFont="1" applyBorder="1" applyAlignment="1">
      <alignment/>
    </xf>
    <xf numFmtId="3" fontId="16" fillId="33" borderId="52" xfId="0" applyNumberFormat="1" applyFont="1" applyFill="1" applyBorder="1" applyAlignment="1">
      <alignment/>
    </xf>
    <xf numFmtId="3" fontId="16" fillId="0" borderId="53" xfId="0" applyNumberFormat="1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vertical="center" wrapText="1"/>
    </xf>
    <xf numFmtId="3" fontId="11" fillId="0" borderId="16" xfId="0" applyNumberFormat="1" applyFont="1" applyBorder="1" applyAlignment="1">
      <alignment/>
    </xf>
    <xf numFmtId="3" fontId="11" fillId="33" borderId="16" xfId="0" applyNumberFormat="1" applyFont="1" applyFill="1" applyBorder="1" applyAlignment="1">
      <alignment/>
    </xf>
    <xf numFmtId="3" fontId="11" fillId="0" borderId="55" xfId="0" applyNumberFormat="1" applyFont="1" applyFill="1" applyBorder="1" applyAlignment="1">
      <alignment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vertical="center" wrapText="1"/>
    </xf>
    <xf numFmtId="3" fontId="16" fillId="0" borderId="56" xfId="0" applyNumberFormat="1" applyFont="1" applyBorder="1" applyAlignment="1">
      <alignment/>
    </xf>
    <xf numFmtId="3" fontId="16" fillId="33" borderId="56" xfId="0" applyNumberFormat="1" applyFont="1" applyFill="1" applyBorder="1" applyAlignment="1">
      <alignment/>
    </xf>
    <xf numFmtId="3" fontId="16" fillId="0" borderId="58" xfId="0" applyNumberFormat="1" applyFont="1" applyFill="1" applyBorder="1" applyAlignment="1">
      <alignment/>
    </xf>
    <xf numFmtId="0" fontId="11" fillId="0" borderId="59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3" fontId="11" fillId="0" borderId="59" xfId="0" applyNumberFormat="1" applyFont="1" applyBorder="1" applyAlignment="1">
      <alignment/>
    </xf>
    <xf numFmtId="3" fontId="11" fillId="33" borderId="59" xfId="0" applyNumberFormat="1" applyFont="1" applyFill="1" applyBorder="1" applyAlignment="1">
      <alignment/>
    </xf>
    <xf numFmtId="3" fontId="11" fillId="0" borderId="60" xfId="0" applyNumberFormat="1" applyFont="1" applyFill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61" xfId="0" applyFont="1" applyBorder="1" applyAlignment="1">
      <alignment vertical="center" wrapText="1"/>
    </xf>
    <xf numFmtId="3" fontId="11" fillId="0" borderId="17" xfId="0" applyNumberFormat="1" applyFont="1" applyBorder="1" applyAlignment="1">
      <alignment/>
    </xf>
    <xf numFmtId="3" fontId="11" fillId="33" borderId="17" xfId="0" applyNumberFormat="1" applyFont="1" applyFill="1" applyBorder="1" applyAlignment="1">
      <alignment/>
    </xf>
    <xf numFmtId="3" fontId="11" fillId="0" borderId="62" xfId="0" applyNumberFormat="1" applyFont="1" applyFill="1" applyBorder="1" applyAlignment="1">
      <alignment/>
    </xf>
    <xf numFmtId="0" fontId="11" fillId="0" borderId="20" xfId="0" applyFont="1" applyBorder="1" applyAlignment="1">
      <alignment horizontal="center" vertical="center"/>
    </xf>
    <xf numFmtId="0" fontId="11" fillId="0" borderId="63" xfId="0" applyFont="1" applyBorder="1" applyAlignment="1">
      <alignment vertical="center" wrapText="1"/>
    </xf>
    <xf numFmtId="3" fontId="11" fillId="0" borderId="20" xfId="0" applyNumberFormat="1" applyFont="1" applyBorder="1" applyAlignment="1">
      <alignment/>
    </xf>
    <xf numFmtId="3" fontId="11" fillId="33" borderId="20" xfId="0" applyNumberFormat="1" applyFont="1" applyFill="1" applyBorder="1" applyAlignment="1">
      <alignment/>
    </xf>
    <xf numFmtId="3" fontId="11" fillId="0" borderId="20" xfId="0" applyNumberFormat="1" applyFont="1" applyFill="1" applyBorder="1" applyAlignment="1">
      <alignment/>
    </xf>
    <xf numFmtId="3" fontId="11" fillId="0" borderId="64" xfId="0" applyNumberFormat="1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65" xfId="0" applyFont="1" applyBorder="1" applyAlignment="1">
      <alignment vertical="center" wrapText="1"/>
    </xf>
    <xf numFmtId="3" fontId="16" fillId="0" borderId="66" xfId="0" applyNumberFormat="1" applyFont="1" applyBorder="1" applyAlignment="1">
      <alignment/>
    </xf>
    <xf numFmtId="3" fontId="16" fillId="33" borderId="66" xfId="0" applyNumberFormat="1" applyFont="1" applyFill="1" applyBorder="1" applyAlignment="1">
      <alignment/>
    </xf>
    <xf numFmtId="0" fontId="11" fillId="0" borderId="67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wrapText="1"/>
    </xf>
    <xf numFmtId="3" fontId="11" fillId="0" borderId="56" xfId="0" applyNumberFormat="1" applyFont="1" applyBorder="1" applyAlignment="1">
      <alignment/>
    </xf>
    <xf numFmtId="3" fontId="11" fillId="33" borderId="67" xfId="0" applyNumberFormat="1" applyFont="1" applyFill="1" applyBorder="1" applyAlignment="1">
      <alignment/>
    </xf>
    <xf numFmtId="3" fontId="11" fillId="0" borderId="68" xfId="0" applyNumberFormat="1" applyFont="1" applyFill="1" applyBorder="1" applyAlignment="1">
      <alignment/>
    </xf>
    <xf numFmtId="3" fontId="11" fillId="33" borderId="56" xfId="0" applyNumberFormat="1" applyFont="1" applyFill="1" applyBorder="1" applyAlignment="1">
      <alignment/>
    </xf>
    <xf numFmtId="0" fontId="16" fillId="0" borderId="67" xfId="0" applyFont="1" applyBorder="1" applyAlignment="1">
      <alignment horizontal="center" vertical="center"/>
    </xf>
    <xf numFmtId="0" fontId="16" fillId="0" borderId="69" xfId="0" applyFont="1" applyBorder="1" applyAlignment="1">
      <alignment vertical="center" wrapText="1"/>
    </xf>
    <xf numFmtId="3" fontId="16" fillId="0" borderId="67" xfId="0" applyNumberFormat="1" applyFont="1" applyBorder="1" applyAlignment="1">
      <alignment/>
    </xf>
    <xf numFmtId="3" fontId="16" fillId="33" borderId="67" xfId="0" applyNumberFormat="1" applyFont="1" applyFill="1" applyBorder="1" applyAlignment="1">
      <alignment/>
    </xf>
    <xf numFmtId="3" fontId="12" fillId="0" borderId="12" xfId="0" applyNumberFormat="1" applyFont="1" applyBorder="1" applyAlignment="1">
      <alignment/>
    </xf>
    <xf numFmtId="0" fontId="22" fillId="0" borderId="7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left" vertical="center"/>
    </xf>
    <xf numFmtId="3" fontId="16" fillId="0" borderId="29" xfId="0" applyNumberFormat="1" applyFont="1" applyBorder="1" applyAlignment="1">
      <alignment horizontal="right" vertical="center"/>
    </xf>
    <xf numFmtId="3" fontId="16" fillId="0" borderId="35" xfId="0" applyNumberFormat="1" applyFont="1" applyBorder="1" applyAlignment="1">
      <alignment horizontal="right" vertical="center"/>
    </xf>
    <xf numFmtId="0" fontId="11" fillId="0" borderId="72" xfId="0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left" vertical="center"/>
    </xf>
    <xf numFmtId="3" fontId="11" fillId="0" borderId="26" xfId="0" applyNumberFormat="1" applyFont="1" applyBorder="1" applyAlignment="1">
      <alignment horizontal="right" vertical="center"/>
    </xf>
    <xf numFmtId="3" fontId="11" fillId="0" borderId="26" xfId="0" applyNumberFormat="1" applyFont="1" applyFill="1" applyBorder="1" applyAlignment="1">
      <alignment horizontal="right" vertical="center"/>
    </xf>
    <xf numFmtId="3" fontId="16" fillId="0" borderId="46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left" vertical="center" wrapText="1"/>
    </xf>
    <xf numFmtId="49" fontId="14" fillId="0" borderId="36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left" vertical="center" wrapText="1"/>
    </xf>
    <xf numFmtId="3" fontId="11" fillId="0" borderId="25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49" fontId="14" fillId="36" borderId="39" xfId="0" applyNumberFormat="1" applyFont="1" applyFill="1" applyBorder="1" applyAlignment="1">
      <alignment horizontal="center" vertical="center"/>
    </xf>
    <xf numFmtId="49" fontId="14" fillId="36" borderId="26" xfId="0" applyNumberFormat="1" applyFont="1" applyFill="1" applyBorder="1" applyAlignment="1">
      <alignment horizontal="left" vertical="center" wrapText="1"/>
    </xf>
    <xf numFmtId="3" fontId="11" fillId="36" borderId="26" xfId="0" applyNumberFormat="1" applyFont="1" applyFill="1" applyBorder="1" applyAlignment="1">
      <alignment horizontal="right" vertical="center"/>
    </xf>
    <xf numFmtId="3" fontId="11" fillId="36" borderId="43" xfId="0" applyNumberFormat="1" applyFont="1" applyFill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9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49" fontId="14" fillId="36" borderId="26" xfId="0" applyNumberFormat="1" applyFont="1" applyFill="1" applyBorder="1" applyAlignment="1">
      <alignment horizontal="center" vertical="center"/>
    </xf>
    <xf numFmtId="3" fontId="16" fillId="0" borderId="75" xfId="0" applyNumberFormat="1" applyFont="1" applyBorder="1" applyAlignment="1">
      <alignment horizontal="right" vertical="center"/>
    </xf>
    <xf numFmtId="3" fontId="16" fillId="0" borderId="76" xfId="0" applyNumberFormat="1" applyFont="1" applyBorder="1" applyAlignment="1">
      <alignment horizontal="right" vertical="center"/>
    </xf>
    <xf numFmtId="0" fontId="11" fillId="0" borderId="34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/>
    </xf>
    <xf numFmtId="49" fontId="11" fillId="36" borderId="30" xfId="0" applyNumberFormat="1" applyFont="1" applyFill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1" fillId="36" borderId="30" xfId="0" applyFont="1" applyFill="1" applyBorder="1" applyAlignment="1">
      <alignment horizontal="left" vertical="center" wrapText="1"/>
    </xf>
    <xf numFmtId="3" fontId="14" fillId="0" borderId="42" xfId="0" applyNumberFormat="1" applyFont="1" applyBorder="1" applyAlignment="1">
      <alignment/>
    </xf>
    <xf numFmtId="0" fontId="14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13" fillId="0" borderId="7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/>
    </xf>
    <xf numFmtId="3" fontId="13" fillId="0" borderId="42" xfId="0" applyNumberFormat="1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4" fillId="0" borderId="30" xfId="0" applyFont="1" applyBorder="1" applyAlignment="1">
      <alignment horizontal="left" vertical="center"/>
    </xf>
    <xf numFmtId="0" fontId="14" fillId="0" borderId="30" xfId="0" applyFont="1" applyFill="1" applyBorder="1" applyAlignment="1">
      <alignment horizontal="center"/>
    </xf>
    <xf numFmtId="3" fontId="28" fillId="0" borderId="81" xfId="0" applyNumberFormat="1" applyFont="1" applyBorder="1" applyAlignment="1">
      <alignment/>
    </xf>
    <xf numFmtId="49" fontId="11" fillId="0" borderId="25" xfId="0" applyNumberFormat="1" applyFont="1" applyFill="1" applyBorder="1" applyAlignment="1">
      <alignment horizontal="left" vertical="center" wrapText="1"/>
    </xf>
    <xf numFmtId="3" fontId="16" fillId="0" borderId="29" xfId="0" applyNumberFormat="1" applyFont="1" applyFill="1" applyBorder="1" applyAlignment="1">
      <alignment horizontal="right" vertical="center"/>
    </xf>
    <xf numFmtId="3" fontId="16" fillId="33" borderId="29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49" fontId="15" fillId="0" borderId="43" xfId="0" applyNumberFormat="1" applyFont="1" applyFill="1" applyBorder="1" applyAlignment="1">
      <alignment horizontal="center" vertical="center" wrapText="1"/>
    </xf>
    <xf numFmtId="1" fontId="15" fillId="0" borderId="82" xfId="0" applyNumberFormat="1" applyFont="1" applyFill="1" applyBorder="1" applyAlignment="1">
      <alignment horizontal="center"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0" fontId="16" fillId="0" borderId="83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/>
    </xf>
    <xf numFmtId="0" fontId="11" fillId="0" borderId="36" xfId="0" applyNumberFormat="1" applyFont="1" applyFill="1" applyBorder="1" applyAlignment="1">
      <alignment horizontal="center" vertical="center"/>
    </xf>
    <xf numFmtId="3" fontId="11" fillId="0" borderId="37" xfId="0" applyNumberFormat="1" applyFont="1" applyFill="1" applyBorder="1" applyAlignment="1">
      <alignment/>
    </xf>
    <xf numFmtId="0" fontId="11" fillId="0" borderId="39" xfId="0" applyNumberFormat="1" applyFont="1" applyFill="1" applyBorder="1" applyAlignment="1">
      <alignment horizontal="center" vertical="center"/>
    </xf>
    <xf numFmtId="3" fontId="11" fillId="0" borderId="42" xfId="0" applyNumberFormat="1" applyFont="1" applyFill="1" applyBorder="1" applyAlignment="1">
      <alignment/>
    </xf>
    <xf numFmtId="49" fontId="16" fillId="0" borderId="34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0" fontId="11" fillId="0" borderId="38" xfId="0" applyNumberFormat="1" applyFont="1" applyFill="1" applyBorder="1" applyAlignment="1">
      <alignment horizontal="center" vertical="center"/>
    </xf>
    <xf numFmtId="0" fontId="11" fillId="0" borderId="82" xfId="0" applyNumberFormat="1" applyFont="1" applyFill="1" applyBorder="1" applyAlignment="1">
      <alignment horizontal="center" vertical="center"/>
    </xf>
    <xf numFmtId="3" fontId="11" fillId="0" borderId="84" xfId="0" applyNumberFormat="1" applyFont="1" applyFill="1" applyBorder="1" applyAlignment="1">
      <alignment/>
    </xf>
    <xf numFmtId="3" fontId="11" fillId="0" borderId="43" xfId="0" applyNumberFormat="1" applyFont="1" applyFill="1" applyBorder="1" applyAlignment="1">
      <alignment/>
    </xf>
    <xf numFmtId="3" fontId="16" fillId="0" borderId="85" xfId="0" applyNumberFormat="1" applyFont="1" applyFill="1" applyBorder="1" applyAlignment="1">
      <alignment/>
    </xf>
    <xf numFmtId="3" fontId="16" fillId="0" borderId="42" xfId="0" applyNumberFormat="1" applyFont="1" applyFill="1" applyBorder="1" applyAlignment="1">
      <alignment/>
    </xf>
    <xf numFmtId="0" fontId="11" fillId="0" borderId="86" xfId="0" applyNumberFormat="1" applyFont="1" applyFill="1" applyBorder="1" applyAlignment="1">
      <alignment horizontal="center" vertical="center"/>
    </xf>
    <xf numFmtId="3" fontId="11" fillId="0" borderId="87" xfId="0" applyNumberFormat="1" applyFont="1" applyFill="1" applyBorder="1" applyAlignment="1">
      <alignment/>
    </xf>
    <xf numFmtId="3" fontId="16" fillId="0" borderId="88" xfId="0" applyNumberFormat="1" applyFont="1" applyFill="1" applyBorder="1" applyAlignment="1">
      <alignment/>
    </xf>
    <xf numFmtId="3" fontId="16" fillId="35" borderId="88" xfId="0" applyNumberFormat="1" applyFont="1" applyFill="1" applyBorder="1" applyAlignment="1">
      <alignment/>
    </xf>
    <xf numFmtId="3" fontId="11" fillId="0" borderId="25" xfId="0" applyNumberFormat="1" applyFont="1" applyFill="1" applyBorder="1" applyAlignment="1">
      <alignment vertical="center"/>
    </xf>
    <xf numFmtId="0" fontId="11" fillId="0" borderId="89" xfId="0" applyFont="1" applyFill="1" applyBorder="1" applyAlignment="1">
      <alignment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3" fontId="11" fillId="0" borderId="59" xfId="0" applyNumberFormat="1" applyFont="1" applyFill="1" applyBorder="1" applyAlignment="1">
      <alignment/>
    </xf>
    <xf numFmtId="0" fontId="16" fillId="0" borderId="56" xfId="0" applyFont="1" applyBorder="1" applyAlignment="1">
      <alignment vertical="center" wrapText="1"/>
    </xf>
    <xf numFmtId="0" fontId="11" fillId="0" borderId="56" xfId="0" applyNumberFormat="1" applyFont="1" applyFill="1" applyBorder="1" applyAlignment="1">
      <alignment vertical="center" wrapText="1"/>
    </xf>
    <xf numFmtId="3" fontId="11" fillId="33" borderId="26" xfId="0" applyNumberFormat="1" applyFont="1" applyFill="1" applyBorder="1" applyAlignment="1">
      <alignment horizontal="right" vertical="center"/>
    </xf>
    <xf numFmtId="3" fontId="16" fillId="33" borderId="46" xfId="0" applyNumberFormat="1" applyFont="1" applyFill="1" applyBorder="1" applyAlignment="1">
      <alignment horizontal="right" vertical="center"/>
    </xf>
    <xf numFmtId="3" fontId="16" fillId="33" borderId="35" xfId="0" applyNumberFormat="1" applyFont="1" applyFill="1" applyBorder="1" applyAlignment="1">
      <alignment horizontal="right" vertical="center"/>
    </xf>
    <xf numFmtId="3" fontId="11" fillId="33" borderId="90" xfId="0" applyNumberFormat="1" applyFont="1" applyFill="1" applyBorder="1" applyAlignment="1">
      <alignment horizontal="right" vertical="center"/>
    </xf>
    <xf numFmtId="3" fontId="12" fillId="33" borderId="12" xfId="0" applyNumberFormat="1" applyFont="1" applyFill="1" applyBorder="1" applyAlignment="1">
      <alignment/>
    </xf>
    <xf numFmtId="0" fontId="11" fillId="0" borderId="29" xfId="0" applyFont="1" applyFill="1" applyBorder="1" applyAlignment="1">
      <alignment vertical="center" wrapText="1"/>
    </xf>
    <xf numFmtId="0" fontId="16" fillId="0" borderId="86" xfId="0" applyNumberFormat="1" applyFont="1" applyFill="1" applyBorder="1" applyAlignment="1">
      <alignment horizontal="center" vertical="center"/>
    </xf>
    <xf numFmtId="0" fontId="16" fillId="0" borderId="38" xfId="0" applyNumberFormat="1" applyFont="1" applyFill="1" applyBorder="1" applyAlignment="1">
      <alignment horizontal="center" vertical="center"/>
    </xf>
    <xf numFmtId="3" fontId="16" fillId="37" borderId="29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3" fontId="11" fillId="37" borderId="25" xfId="0" applyNumberFormat="1" applyFont="1" applyFill="1" applyBorder="1" applyAlignment="1">
      <alignment/>
    </xf>
    <xf numFmtId="3" fontId="16" fillId="0" borderId="91" xfId="0" applyNumberFormat="1" applyFont="1" applyFill="1" applyBorder="1" applyAlignment="1">
      <alignment/>
    </xf>
    <xf numFmtId="0" fontId="11" fillId="0" borderId="31" xfId="0" applyNumberFormat="1" applyFont="1" applyFill="1" applyBorder="1" applyAlignment="1">
      <alignment vertical="center" wrapText="1"/>
    </xf>
    <xf numFmtId="49" fontId="11" fillId="0" borderId="92" xfId="0" applyNumberFormat="1" applyFont="1" applyBorder="1" applyAlignment="1">
      <alignment horizontal="left" vertical="center" wrapText="1"/>
    </xf>
    <xf numFmtId="0" fontId="11" fillId="0" borderId="93" xfId="0" applyNumberFormat="1" applyFont="1" applyFill="1" applyBorder="1" applyAlignment="1">
      <alignment horizontal="center" vertical="center"/>
    </xf>
    <xf numFmtId="0" fontId="11" fillId="0" borderId="94" xfId="0" applyNumberFormat="1" applyFont="1" applyFill="1" applyBorder="1" applyAlignment="1">
      <alignment horizontal="center" vertical="center"/>
    </xf>
    <xf numFmtId="49" fontId="11" fillId="0" borderId="94" xfId="0" applyNumberFormat="1" applyFont="1" applyFill="1" applyBorder="1" applyAlignment="1">
      <alignment horizontal="center" vertical="center" wrapText="1"/>
    </xf>
    <xf numFmtId="3" fontId="11" fillId="0" borderId="94" xfId="0" applyNumberFormat="1" applyFont="1" applyFill="1" applyBorder="1" applyAlignment="1">
      <alignment/>
    </xf>
    <xf numFmtId="3" fontId="11" fillId="33" borderId="94" xfId="0" applyNumberFormat="1" applyFont="1" applyFill="1" applyBorder="1" applyAlignment="1">
      <alignment/>
    </xf>
    <xf numFmtId="3" fontId="11" fillId="0" borderId="95" xfId="0" applyNumberFormat="1" applyFont="1" applyFill="1" applyBorder="1" applyAlignment="1">
      <alignment/>
    </xf>
    <xf numFmtId="0" fontId="11" fillId="38" borderId="25" xfId="0" applyNumberFormat="1" applyFont="1" applyFill="1" applyBorder="1" applyAlignment="1">
      <alignment horizontal="center" vertical="center"/>
    </xf>
    <xf numFmtId="49" fontId="11" fillId="38" borderId="30" xfId="0" applyNumberFormat="1" applyFont="1" applyFill="1" applyBorder="1" applyAlignment="1">
      <alignment horizontal="center" vertical="center" wrapText="1"/>
    </xf>
    <xf numFmtId="49" fontId="11" fillId="38" borderId="92" xfId="0" applyNumberFormat="1" applyFont="1" applyFill="1" applyBorder="1" applyAlignment="1">
      <alignment horizontal="left" vertical="center" wrapText="1"/>
    </xf>
    <xf numFmtId="3" fontId="11" fillId="38" borderId="30" xfId="0" applyNumberFormat="1" applyFont="1" applyFill="1" applyBorder="1" applyAlignment="1">
      <alignment/>
    </xf>
    <xf numFmtId="3" fontId="11" fillId="38" borderId="25" xfId="0" applyNumberFormat="1" applyFont="1" applyFill="1" applyBorder="1" applyAlignment="1">
      <alignment/>
    </xf>
    <xf numFmtId="3" fontId="11" fillId="38" borderId="37" xfId="0" applyNumberFormat="1" applyFont="1" applyFill="1" applyBorder="1" applyAlignment="1">
      <alignment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36" xfId="0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96" xfId="0" applyFont="1" applyBorder="1" applyAlignment="1">
      <alignment vertical="center" wrapText="1"/>
    </xf>
    <xf numFmtId="3" fontId="11" fillId="0" borderId="96" xfId="0" applyNumberFormat="1" applyFont="1" applyFill="1" applyBorder="1" applyAlignment="1">
      <alignment/>
    </xf>
    <xf numFmtId="3" fontId="11" fillId="33" borderId="96" xfId="0" applyNumberFormat="1" applyFont="1" applyFill="1" applyBorder="1" applyAlignment="1">
      <alignment/>
    </xf>
    <xf numFmtId="49" fontId="11" fillId="39" borderId="92" xfId="0" applyNumberFormat="1" applyFont="1" applyFill="1" applyBorder="1" applyAlignment="1">
      <alignment horizontal="left" vertical="center" wrapText="1"/>
    </xf>
    <xf numFmtId="0" fontId="0" fillId="0" borderId="97" xfId="0" applyFill="1" applyBorder="1" applyAlignment="1">
      <alignment/>
    </xf>
    <xf numFmtId="0" fontId="21" fillId="0" borderId="73" xfId="0" applyFont="1" applyFill="1" applyBorder="1" applyAlignment="1">
      <alignment horizontal="center" vertical="center"/>
    </xf>
    <xf numFmtId="0" fontId="21" fillId="33" borderId="74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/>
    </xf>
    <xf numFmtId="3" fontId="16" fillId="33" borderId="35" xfId="0" applyNumberFormat="1" applyFont="1" applyFill="1" applyBorder="1" applyAlignment="1">
      <alignment/>
    </xf>
    <xf numFmtId="0" fontId="11" fillId="0" borderId="36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/>
    </xf>
    <xf numFmtId="0" fontId="16" fillId="0" borderId="36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3" fontId="11" fillId="33" borderId="35" xfId="0" applyNumberFormat="1" applyFont="1" applyFill="1" applyBorder="1" applyAlignment="1">
      <alignment/>
    </xf>
    <xf numFmtId="0" fontId="16" fillId="0" borderId="83" xfId="0" applyFont="1" applyFill="1" applyBorder="1" applyAlignment="1">
      <alignment horizontal="center" vertical="center"/>
    </xf>
    <xf numFmtId="3" fontId="16" fillId="33" borderId="85" xfId="0" applyNumberFormat="1" applyFont="1" applyFill="1" applyBorder="1" applyAlignment="1">
      <alignment/>
    </xf>
    <xf numFmtId="0" fontId="11" fillId="0" borderId="73" xfId="0" applyFont="1" applyFill="1" applyBorder="1" applyAlignment="1">
      <alignment horizontal="center" vertical="center"/>
    </xf>
    <xf numFmtId="3" fontId="11" fillId="33" borderId="74" xfId="0" applyNumberFormat="1" applyFont="1" applyFill="1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3" fontId="11" fillId="33" borderId="42" xfId="0" applyNumberFormat="1" applyFont="1" applyFill="1" applyBorder="1" applyAlignment="1">
      <alignment/>
    </xf>
    <xf numFmtId="0" fontId="11" fillId="34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3" fontId="11" fillId="33" borderId="43" xfId="0" applyNumberFormat="1" applyFont="1" applyFill="1" applyBorder="1" applyAlignment="1">
      <alignment/>
    </xf>
    <xf numFmtId="0" fontId="11" fillId="34" borderId="73" xfId="0" applyFont="1" applyFill="1" applyBorder="1" applyAlignment="1">
      <alignment horizontal="center" vertical="center"/>
    </xf>
    <xf numFmtId="0" fontId="11" fillId="0" borderId="86" xfId="0" applyFont="1" applyFill="1" applyBorder="1" applyAlignment="1">
      <alignment horizontal="center" vertical="center"/>
    </xf>
    <xf numFmtId="3" fontId="11" fillId="33" borderId="87" xfId="0" applyNumberFormat="1" applyFont="1" applyFill="1" applyBorder="1" applyAlignment="1">
      <alignment/>
    </xf>
    <xf numFmtId="0" fontId="16" fillId="0" borderId="38" xfId="0" applyFont="1" applyFill="1" applyBorder="1" applyAlignment="1">
      <alignment horizontal="center" vertical="center"/>
    </xf>
    <xf numFmtId="0" fontId="24" fillId="0" borderId="86" xfId="0" applyFont="1" applyFill="1" applyBorder="1" applyAlignment="1">
      <alignment horizontal="center" vertical="center"/>
    </xf>
    <xf numFmtId="3" fontId="11" fillId="33" borderId="37" xfId="0" applyNumberFormat="1" applyFont="1" applyFill="1" applyBorder="1" applyAlignment="1">
      <alignment vertical="center"/>
    </xf>
    <xf numFmtId="0" fontId="24" fillId="0" borderId="39" xfId="0" applyFont="1" applyFill="1" applyBorder="1" applyAlignment="1">
      <alignment horizontal="center" vertical="center"/>
    </xf>
    <xf numFmtId="0" fontId="24" fillId="34" borderId="38" xfId="0" applyFont="1" applyFill="1" applyBorder="1" applyAlignment="1">
      <alignment horizontal="center" vertical="center"/>
    </xf>
    <xf numFmtId="3" fontId="16" fillId="0" borderId="34" xfId="0" applyNumberFormat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33" borderId="43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3" fontId="11" fillId="33" borderId="98" xfId="0" applyNumberFormat="1" applyFont="1" applyFill="1" applyBorder="1" applyAlignment="1">
      <alignment/>
    </xf>
    <xf numFmtId="0" fontId="11" fillId="0" borderId="82" xfId="0" applyFont="1" applyFill="1" applyBorder="1" applyAlignment="1">
      <alignment horizontal="center" vertical="center"/>
    </xf>
    <xf numFmtId="3" fontId="11" fillId="33" borderId="84" xfId="0" applyNumberFormat="1" applyFont="1" applyFill="1" applyBorder="1" applyAlignment="1">
      <alignment/>
    </xf>
    <xf numFmtId="0" fontId="16" fillId="0" borderId="83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3" fontId="11" fillId="33" borderId="100" xfId="0" applyNumberFormat="1" applyFont="1" applyFill="1" applyBorder="1" applyAlignment="1">
      <alignment/>
    </xf>
    <xf numFmtId="0" fontId="16" fillId="0" borderId="101" xfId="0" applyFont="1" applyBorder="1" applyAlignment="1">
      <alignment horizontal="center" vertical="center"/>
    </xf>
    <xf numFmtId="0" fontId="11" fillId="0" borderId="30" xfId="0" applyFont="1" applyFill="1" applyBorder="1" applyAlignment="1">
      <alignment wrapText="1"/>
    </xf>
    <xf numFmtId="49" fontId="22" fillId="0" borderId="89" xfId="0" applyNumberFormat="1" applyFont="1" applyBorder="1" applyAlignment="1">
      <alignment horizontal="center" vertical="center" wrapText="1"/>
    </xf>
    <xf numFmtId="3" fontId="16" fillId="0" borderId="102" xfId="0" applyNumberFormat="1" applyFont="1" applyBorder="1" applyAlignment="1">
      <alignment/>
    </xf>
    <xf numFmtId="3" fontId="16" fillId="0" borderId="103" xfId="0" applyNumberFormat="1" applyFont="1" applyBorder="1" applyAlignment="1">
      <alignment/>
    </xf>
    <xf numFmtId="3" fontId="16" fillId="0" borderId="103" xfId="0" applyNumberFormat="1" applyFont="1" applyFill="1" applyBorder="1" applyAlignment="1">
      <alignment/>
    </xf>
    <xf numFmtId="3" fontId="16" fillId="0" borderId="68" xfId="0" applyNumberFormat="1" applyFont="1" applyBorder="1" applyAlignment="1">
      <alignment/>
    </xf>
    <xf numFmtId="3" fontId="16" fillId="0" borderId="47" xfId="0" applyNumberFormat="1" applyFont="1" applyBorder="1" applyAlignment="1">
      <alignment/>
    </xf>
    <xf numFmtId="3" fontId="11" fillId="0" borderId="104" xfId="0" applyNumberFormat="1" applyFont="1" applyBorder="1" applyAlignment="1">
      <alignment/>
    </xf>
    <xf numFmtId="3" fontId="16" fillId="0" borderId="105" xfId="0" applyNumberFormat="1" applyFont="1" applyBorder="1" applyAlignment="1">
      <alignment/>
    </xf>
    <xf numFmtId="3" fontId="11" fillId="0" borderId="97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1" fillId="0" borderId="106" xfId="0" applyNumberFormat="1" applyFont="1" applyFill="1" applyBorder="1" applyAlignment="1">
      <alignment/>
    </xf>
    <xf numFmtId="3" fontId="16" fillId="0" borderId="105" xfId="0" applyNumberFormat="1" applyFont="1" applyFill="1" applyBorder="1" applyAlignment="1">
      <alignment/>
    </xf>
    <xf numFmtId="3" fontId="11" fillId="0" borderId="104" xfId="0" applyNumberFormat="1" applyFont="1" applyFill="1" applyBorder="1" applyAlignment="1">
      <alignment/>
    </xf>
    <xf numFmtId="3" fontId="11" fillId="0" borderId="102" xfId="0" applyNumberFormat="1" applyFont="1" applyBorder="1" applyAlignment="1">
      <alignment/>
    </xf>
    <xf numFmtId="3" fontId="11" fillId="0" borderId="97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6" fillId="0" borderId="28" xfId="0" applyNumberFormat="1" applyFont="1" applyBorder="1" applyAlignment="1">
      <alignment/>
    </xf>
    <xf numFmtId="3" fontId="11" fillId="0" borderId="107" xfId="0" applyNumberFormat="1" applyFont="1" applyFill="1" applyBorder="1" applyAlignment="1">
      <alignment/>
    </xf>
    <xf numFmtId="0" fontId="15" fillId="33" borderId="108" xfId="0" applyFont="1" applyFill="1" applyBorder="1" applyAlignment="1">
      <alignment horizontal="center" vertical="center"/>
    </xf>
    <xf numFmtId="3" fontId="16" fillId="33" borderId="76" xfId="0" applyNumberFormat="1" applyFont="1" applyFill="1" applyBorder="1" applyAlignment="1">
      <alignment horizontal="right" vertical="center"/>
    </xf>
    <xf numFmtId="3" fontId="16" fillId="37" borderId="109" xfId="0" applyNumberFormat="1" applyFont="1" applyFill="1" applyBorder="1" applyAlignment="1">
      <alignment/>
    </xf>
    <xf numFmtId="3" fontId="11" fillId="33" borderId="85" xfId="0" applyNumberFormat="1" applyFont="1" applyFill="1" applyBorder="1" applyAlignment="1">
      <alignment/>
    </xf>
    <xf numFmtId="3" fontId="16" fillId="33" borderId="37" xfId="0" applyNumberFormat="1" applyFont="1" applyFill="1" applyBorder="1" applyAlignment="1">
      <alignment/>
    </xf>
    <xf numFmtId="3" fontId="11" fillId="37" borderId="109" xfId="0" applyNumberFormat="1" applyFont="1" applyFill="1" applyBorder="1" applyAlignment="1">
      <alignment/>
    </xf>
    <xf numFmtId="3" fontId="11" fillId="33" borderId="30" xfId="0" applyNumberFormat="1" applyFont="1" applyFill="1" applyBorder="1" applyAlignment="1">
      <alignment vertical="center"/>
    </xf>
    <xf numFmtId="3" fontId="12" fillId="33" borderId="35" xfId="0" applyNumberFormat="1" applyFont="1" applyFill="1" applyBorder="1" applyAlignment="1">
      <alignment/>
    </xf>
    <xf numFmtId="49" fontId="11" fillId="0" borderId="30" xfId="0" applyNumberFormat="1" applyFont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center" vertical="center"/>
    </xf>
    <xf numFmtId="0" fontId="11" fillId="37" borderId="25" xfId="0" applyFont="1" applyFill="1" applyBorder="1" applyAlignment="1">
      <alignment horizontal="center" vertical="center"/>
    </xf>
    <xf numFmtId="10" fontId="11" fillId="37" borderId="37" xfId="0" applyNumberFormat="1" applyFont="1" applyFill="1" applyBorder="1" applyAlignment="1">
      <alignment horizontal="center"/>
    </xf>
    <xf numFmtId="0" fontId="12" fillId="37" borderId="25" xfId="0" applyFont="1" applyFill="1" applyBorder="1" applyAlignment="1">
      <alignment wrapText="1"/>
    </xf>
    <xf numFmtId="0" fontId="13" fillId="0" borderId="75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70" fillId="0" borderId="38" xfId="0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13" fillId="0" borderId="79" xfId="0" applyFont="1" applyBorder="1" applyAlignment="1">
      <alignment horizontal="left" vertical="center"/>
    </xf>
    <xf numFmtId="0" fontId="11" fillId="0" borderId="110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1" fillId="0" borderId="111" xfId="0" applyFont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3" fontId="72" fillId="0" borderId="0" xfId="0" applyNumberFormat="1" applyFont="1" applyBorder="1" applyAlignment="1">
      <alignment horizontal="left"/>
    </xf>
    <xf numFmtId="3" fontId="73" fillId="0" borderId="23" xfId="0" applyNumberFormat="1" applyFont="1" applyBorder="1" applyAlignment="1">
      <alignment/>
    </xf>
    <xf numFmtId="3" fontId="74" fillId="0" borderId="0" xfId="0" applyNumberFormat="1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12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89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33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2" fillId="0" borderId="113" xfId="0" applyNumberFormat="1" applyFont="1" applyFill="1" applyBorder="1" applyAlignment="1">
      <alignment horizontal="left" wrapText="1"/>
    </xf>
    <xf numFmtId="0" fontId="11" fillId="0" borderId="114" xfId="0" applyFont="1" applyBorder="1" applyAlignment="1">
      <alignment/>
    </xf>
    <xf numFmtId="0" fontId="11" fillId="0" borderId="15" xfId="0" applyFont="1" applyBorder="1" applyAlignment="1">
      <alignment/>
    </xf>
    <xf numFmtId="49" fontId="12" fillId="33" borderId="26" xfId="0" applyNumberFormat="1" applyFont="1" applyFill="1" applyBorder="1" applyAlignment="1">
      <alignment horizontal="center" vertical="center" wrapText="1"/>
    </xf>
    <xf numFmtId="49" fontId="12" fillId="33" borderId="25" xfId="0" applyNumberFormat="1" applyFont="1" applyFill="1" applyBorder="1" applyAlignment="1">
      <alignment horizontal="center" vertical="center" wrapText="1"/>
    </xf>
    <xf numFmtId="0" fontId="12" fillId="0" borderId="115" xfId="0" applyNumberFormat="1" applyFont="1" applyFill="1" applyBorder="1" applyAlignment="1">
      <alignment horizontal="left" wrapText="1"/>
    </xf>
    <xf numFmtId="0" fontId="12" fillId="0" borderId="61" xfId="0" applyNumberFormat="1" applyFont="1" applyFill="1" applyBorder="1" applyAlignment="1">
      <alignment horizontal="left" wrapText="1"/>
    </xf>
    <xf numFmtId="0" fontId="12" fillId="0" borderId="62" xfId="0" applyNumberFormat="1" applyFont="1" applyFill="1" applyBorder="1" applyAlignment="1">
      <alignment horizontal="left" wrapText="1"/>
    </xf>
    <xf numFmtId="0" fontId="12" fillId="0" borderId="19" xfId="0" applyNumberFormat="1" applyFont="1" applyFill="1" applyBorder="1" applyAlignment="1">
      <alignment horizontal="left" wrapText="1"/>
    </xf>
    <xf numFmtId="0" fontId="12" fillId="0" borderId="78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0" fontId="12" fillId="0" borderId="79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16" fillId="0" borderId="116" xfId="0" applyNumberFormat="1" applyFont="1" applyBorder="1" applyAlignment="1">
      <alignment horizontal="center" vertical="center"/>
    </xf>
    <xf numFmtId="0" fontId="16" fillId="0" borderId="117" xfId="0" applyNumberFormat="1" applyFont="1" applyBorder="1" applyAlignment="1">
      <alignment horizontal="center" vertical="center"/>
    </xf>
    <xf numFmtId="0" fontId="16" fillId="0" borderId="118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1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6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7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7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left" wrapText="1"/>
    </xf>
    <xf numFmtId="0" fontId="21" fillId="0" borderId="62" xfId="0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113" xfId="0" applyFont="1" applyFill="1" applyBorder="1" applyAlignment="1">
      <alignment horizontal="left" vertical="center"/>
    </xf>
    <xf numFmtId="0" fontId="22" fillId="0" borderId="114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22" fillId="33" borderId="42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115" xfId="0" applyFont="1" applyBorder="1" applyAlignment="1">
      <alignment horizontal="left" vertical="center"/>
    </xf>
    <xf numFmtId="0" fontId="29" fillId="0" borderId="62" xfId="0" applyFont="1" applyBorder="1" applyAlignment="1">
      <alignment horizontal="left" vertical="center"/>
    </xf>
    <xf numFmtId="0" fontId="22" fillId="0" borderId="120" xfId="0" applyFont="1" applyFill="1" applyBorder="1" applyAlignment="1">
      <alignment horizontal="center" vertical="center"/>
    </xf>
    <xf numFmtId="0" fontId="0" fillId="0" borderId="121" xfId="0" applyBorder="1" applyAlignment="1">
      <alignment vertical="center"/>
    </xf>
    <xf numFmtId="0" fontId="22" fillId="0" borderId="113" xfId="0" applyFont="1" applyBorder="1" applyAlignment="1">
      <alignment horizontal="left" vertical="center"/>
    </xf>
    <xf numFmtId="0" fontId="22" fillId="0" borderId="114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15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21" fillId="0" borderId="120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12" fillId="0" borderId="122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23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left" vertical="center"/>
    </xf>
    <xf numFmtId="49" fontId="22" fillId="0" borderId="22" xfId="0" applyNumberFormat="1" applyFont="1" applyBorder="1" applyAlignment="1">
      <alignment horizontal="left" vertical="center"/>
    </xf>
    <xf numFmtId="49" fontId="22" fillId="0" borderId="112" xfId="0" applyNumberFormat="1" applyFont="1" applyBorder="1" applyAlignment="1">
      <alignment horizontal="left" vertical="center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2" fillId="33" borderId="59" xfId="0" applyNumberFormat="1" applyFont="1" applyFill="1" applyBorder="1" applyAlignment="1">
      <alignment horizontal="center" vertical="center" wrapText="1"/>
    </xf>
    <xf numFmtId="49" fontId="22" fillId="33" borderId="89" xfId="0" applyNumberFormat="1" applyFont="1" applyFill="1" applyBorder="1" applyAlignment="1">
      <alignment horizontal="center" vertical="center" wrapText="1"/>
    </xf>
    <xf numFmtId="49" fontId="22" fillId="33" borderId="70" xfId="0" applyNumberFormat="1" applyFont="1" applyFill="1" applyBorder="1" applyAlignment="1">
      <alignment horizontal="center" vertical="center" wrapText="1"/>
    </xf>
    <xf numFmtId="49" fontId="22" fillId="0" borderId="12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25" xfId="0" applyBorder="1" applyAlignment="1">
      <alignment horizontal="center"/>
    </xf>
    <xf numFmtId="49" fontId="22" fillId="0" borderId="70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49" fontId="21" fillId="0" borderId="124" xfId="0" applyNumberFormat="1" applyFont="1" applyBorder="1" applyAlignment="1">
      <alignment horizontal="left" vertical="center" wrapText="1"/>
    </xf>
    <xf numFmtId="49" fontId="21" fillId="0" borderId="125" xfId="0" applyNumberFormat="1" applyFont="1" applyBorder="1" applyAlignment="1">
      <alignment horizontal="left" vertical="center" wrapText="1"/>
    </xf>
    <xf numFmtId="49" fontId="21" fillId="0" borderId="126" xfId="0" applyNumberFormat="1" applyFont="1" applyBorder="1" applyAlignment="1">
      <alignment horizontal="left" vertical="center" wrapText="1"/>
    </xf>
    <xf numFmtId="49" fontId="21" fillId="0" borderId="127" xfId="0" applyNumberFormat="1" applyFont="1" applyBorder="1" applyAlignment="1">
      <alignment horizontal="left" vertical="center" wrapText="1"/>
    </xf>
    <xf numFmtId="49" fontId="22" fillId="0" borderId="1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123" xfId="0" applyNumberFormat="1" applyFont="1" applyBorder="1" applyAlignment="1">
      <alignment horizontal="center" vertical="center"/>
    </xf>
    <xf numFmtId="3" fontId="16" fillId="0" borderId="77" xfId="0" applyNumberFormat="1" applyFont="1" applyBorder="1" applyAlignment="1">
      <alignment horizontal="center"/>
    </xf>
    <xf numFmtId="3" fontId="16" fillId="0" borderId="46" xfId="0" applyNumberFormat="1" applyFont="1" applyBorder="1" applyAlignment="1">
      <alignment horizontal="center"/>
    </xf>
    <xf numFmtId="0" fontId="22" fillId="0" borderId="77" xfId="0" applyFont="1" applyBorder="1" applyAlignment="1">
      <alignment/>
    </xf>
    <xf numFmtId="0" fontId="22" fillId="0" borderId="46" xfId="0" applyFont="1" applyBorder="1" applyAlignment="1">
      <alignment/>
    </xf>
    <xf numFmtId="0" fontId="22" fillId="0" borderId="122" xfId="0" applyFont="1" applyBorder="1" applyAlignment="1">
      <alignment/>
    </xf>
    <xf numFmtId="0" fontId="22" fillId="0" borderId="76" xfId="0" applyFont="1" applyBorder="1" applyAlignment="1">
      <alignment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23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1" fillId="0" borderId="77" xfId="0" applyFont="1" applyBorder="1" applyAlignment="1">
      <alignment/>
    </xf>
    <xf numFmtId="0" fontId="21" fillId="0" borderId="76" xfId="0" applyFont="1" applyBorder="1" applyAlignment="1">
      <alignment/>
    </xf>
    <xf numFmtId="0" fontId="22" fillId="0" borderId="1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2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89" xfId="0" applyFont="1" applyBorder="1" applyAlignment="1">
      <alignment horizontal="center" vertical="center" wrapText="1"/>
    </xf>
    <xf numFmtId="0" fontId="22" fillId="0" borderId="12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2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3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112" xfId="0" applyFont="1" applyBorder="1" applyAlignment="1">
      <alignment horizontal="left" vertical="center"/>
    </xf>
    <xf numFmtId="0" fontId="12" fillId="0" borderId="77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76" xfId="0" applyFont="1" applyBorder="1" applyAlignment="1">
      <alignment horizontal="center"/>
    </xf>
    <xf numFmtId="3" fontId="11" fillId="0" borderId="115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/>
    </xf>
    <xf numFmtId="3" fontId="11" fillId="36" borderId="115" xfId="0" applyNumberFormat="1" applyFont="1" applyFill="1" applyBorder="1" applyAlignment="1">
      <alignment horizontal="center"/>
    </xf>
    <xf numFmtId="3" fontId="11" fillId="36" borderId="19" xfId="0" applyNumberFormat="1" applyFont="1" applyFill="1" applyBorder="1" applyAlignment="1">
      <alignment horizontal="center"/>
    </xf>
    <xf numFmtId="3" fontId="11" fillId="0" borderId="30" xfId="0" applyNumberFormat="1" applyFont="1" applyBorder="1" applyAlignment="1">
      <alignment horizontal="center"/>
    </xf>
    <xf numFmtId="3" fontId="11" fillId="0" borderId="42" xfId="0" applyNumberFormat="1" applyFont="1" applyBorder="1" applyAlignment="1">
      <alignment horizontal="center"/>
    </xf>
    <xf numFmtId="3" fontId="13" fillId="0" borderId="46" xfId="0" applyNumberFormat="1" applyFont="1" applyBorder="1" applyAlignment="1">
      <alignment horizontal="center"/>
    </xf>
    <xf numFmtId="3" fontId="13" fillId="0" borderId="76" xfId="0" applyNumberFormat="1" applyFont="1" applyBorder="1" applyAlignment="1">
      <alignment horizontal="center"/>
    </xf>
    <xf numFmtId="3" fontId="13" fillId="0" borderId="30" xfId="0" applyNumberFormat="1" applyFont="1" applyBorder="1" applyAlignment="1">
      <alignment horizontal="center"/>
    </xf>
    <xf numFmtId="3" fontId="13" fillId="0" borderId="42" xfId="0" applyNumberFormat="1" applyFont="1" applyBorder="1" applyAlignment="1">
      <alignment horizontal="center"/>
    </xf>
    <xf numFmtId="3" fontId="11" fillId="36" borderId="30" xfId="0" applyNumberFormat="1" applyFont="1" applyFill="1" applyBorder="1" applyAlignment="1">
      <alignment horizontal="center"/>
    </xf>
    <xf numFmtId="3" fontId="11" fillId="36" borderId="4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22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/>
    </xf>
    <xf numFmtId="3" fontId="13" fillId="0" borderId="37" xfId="0" applyNumberFormat="1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3" fontId="13" fillId="0" borderId="80" xfId="0" applyNumberFormat="1" applyFont="1" applyBorder="1" applyAlignment="1">
      <alignment horizontal="center"/>
    </xf>
    <xf numFmtId="3" fontId="11" fillId="0" borderId="111" xfId="0" applyNumberFormat="1" applyFont="1" applyBorder="1" applyAlignment="1">
      <alignment horizontal="center"/>
    </xf>
    <xf numFmtId="3" fontId="11" fillId="0" borderId="81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49" fontId="28" fillId="0" borderId="128" xfId="0" applyNumberFormat="1" applyFont="1" applyBorder="1" applyAlignment="1">
      <alignment horizontal="center" vertical="center"/>
    </xf>
    <xf numFmtId="49" fontId="16" fillId="0" borderId="129" xfId="0" applyNumberFormat="1" applyFont="1" applyBorder="1" applyAlignment="1">
      <alignment horizontal="center" vertical="center"/>
    </xf>
    <xf numFmtId="49" fontId="16" fillId="0" borderId="130" xfId="0" applyNumberFormat="1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2" max="2" width="74.625" style="0" customWidth="1"/>
    <col min="3" max="3" width="13.125" style="0" customWidth="1"/>
    <col min="4" max="4" width="12.375" style="0" customWidth="1"/>
    <col min="5" max="5" width="13.75390625" style="0" customWidth="1"/>
    <col min="6" max="6" width="12.625" style="0" customWidth="1"/>
    <col min="8" max="8" width="9.25390625" style="0" bestFit="1" customWidth="1"/>
  </cols>
  <sheetData>
    <row r="1" spans="1:6" ht="15">
      <c r="A1" s="10"/>
      <c r="B1" s="10"/>
      <c r="C1" s="10"/>
      <c r="D1" s="10"/>
      <c r="E1" s="29" t="s">
        <v>20</v>
      </c>
      <c r="F1" s="10"/>
    </row>
    <row r="2" spans="1:6" ht="15">
      <c r="A2" s="10"/>
      <c r="B2" s="10"/>
      <c r="C2" s="10"/>
      <c r="D2" s="10"/>
      <c r="E2" s="29" t="s">
        <v>326</v>
      </c>
      <c r="F2" s="10"/>
    </row>
    <row r="3" spans="1:6" ht="15">
      <c r="A3" s="10"/>
      <c r="C3" s="10"/>
      <c r="D3" s="10"/>
      <c r="E3" s="29" t="s">
        <v>21</v>
      </c>
      <c r="F3" s="10"/>
    </row>
    <row r="4" spans="1:6" ht="15">
      <c r="A4" s="10"/>
      <c r="B4" s="10"/>
      <c r="C4" s="10"/>
      <c r="D4" s="10"/>
      <c r="E4" s="30" t="s">
        <v>327</v>
      </c>
      <c r="F4" s="10"/>
    </row>
    <row r="5" spans="1:6" ht="12.75">
      <c r="A5" s="10"/>
      <c r="B5" s="10"/>
      <c r="C5" s="10"/>
      <c r="D5" s="10"/>
      <c r="E5" s="11"/>
      <c r="F5" s="10"/>
    </row>
    <row r="6" spans="1:6" ht="16.5">
      <c r="A6" s="483" t="s">
        <v>239</v>
      </c>
      <c r="B6" s="484"/>
      <c r="C6" s="484"/>
      <c r="D6" s="484"/>
      <c r="E6" s="484"/>
      <c r="F6" s="484"/>
    </row>
    <row r="7" spans="1:6" ht="15.75" customHeight="1">
      <c r="A7" s="483" t="s">
        <v>299</v>
      </c>
      <c r="B7" s="484"/>
      <c r="C7" s="484"/>
      <c r="D7" s="484"/>
      <c r="E7" s="484"/>
      <c r="F7" s="484"/>
    </row>
    <row r="8" spans="1:6" ht="18" customHeight="1" thickBot="1">
      <c r="A8" s="10"/>
      <c r="B8" s="10"/>
      <c r="C8" s="10"/>
      <c r="D8" s="10"/>
      <c r="E8" s="10"/>
      <c r="F8" s="10"/>
    </row>
    <row r="9" spans="1:6" ht="18.75" thickBot="1">
      <c r="A9" s="487" t="s">
        <v>0</v>
      </c>
      <c r="B9" s="487" t="s">
        <v>1</v>
      </c>
      <c r="C9" s="485" t="s">
        <v>2</v>
      </c>
      <c r="D9" s="486"/>
      <c r="E9" s="485" t="s">
        <v>3</v>
      </c>
      <c r="F9" s="486"/>
    </row>
    <row r="10" spans="1:6" ht="54.75" thickBot="1">
      <c r="A10" s="488"/>
      <c r="B10" s="488"/>
      <c r="C10" s="31" t="s">
        <v>4</v>
      </c>
      <c r="D10" s="32" t="s">
        <v>16</v>
      </c>
      <c r="E10" s="31" t="s">
        <v>4</v>
      </c>
      <c r="F10" s="32" t="s">
        <v>16</v>
      </c>
    </row>
    <row r="11" spans="1:6" ht="16.5">
      <c r="A11" s="33" t="s">
        <v>22</v>
      </c>
      <c r="B11" s="34" t="s">
        <v>5</v>
      </c>
      <c r="C11" s="35">
        <v>22000</v>
      </c>
      <c r="D11" s="36">
        <v>22000</v>
      </c>
      <c r="E11" s="37">
        <v>22000</v>
      </c>
      <c r="F11" s="36">
        <v>22000</v>
      </c>
    </row>
    <row r="12" spans="1:6" ht="16.5">
      <c r="A12" s="38" t="s">
        <v>23</v>
      </c>
      <c r="B12" s="39" t="s">
        <v>6</v>
      </c>
      <c r="C12" s="40">
        <v>20000</v>
      </c>
      <c r="D12" s="41">
        <v>0</v>
      </c>
      <c r="E12" s="42">
        <f>31600-11000</f>
        <v>20600</v>
      </c>
      <c r="F12" s="41">
        <v>0</v>
      </c>
    </row>
    <row r="13" spans="1:6" ht="16.5">
      <c r="A13" s="44">
        <v>600</v>
      </c>
      <c r="B13" s="39" t="s">
        <v>7</v>
      </c>
      <c r="C13" s="40">
        <v>16000</v>
      </c>
      <c r="D13" s="41">
        <v>0</v>
      </c>
      <c r="E13" s="42">
        <f>2712000+3100</f>
        <v>2715100</v>
      </c>
      <c r="F13" s="41">
        <v>0</v>
      </c>
    </row>
    <row r="14" spans="1:6" ht="16.5">
      <c r="A14" s="44">
        <v>630</v>
      </c>
      <c r="B14" s="39" t="s">
        <v>19</v>
      </c>
      <c r="C14" s="40">
        <v>0</v>
      </c>
      <c r="D14" s="41">
        <v>0</v>
      </c>
      <c r="E14" s="42">
        <v>20000</v>
      </c>
      <c r="F14" s="41">
        <v>0</v>
      </c>
    </row>
    <row r="15" spans="1:6" ht="16.5">
      <c r="A15" s="44">
        <v>700</v>
      </c>
      <c r="B15" s="39" t="s">
        <v>8</v>
      </c>
      <c r="C15" s="40">
        <v>461000</v>
      </c>
      <c r="D15" s="41">
        <v>11000</v>
      </c>
      <c r="E15" s="42">
        <f>51000-10000</f>
        <v>41000</v>
      </c>
      <c r="F15" s="41">
        <v>11000</v>
      </c>
    </row>
    <row r="16" spans="1:6" ht="16.5">
      <c r="A16" s="44">
        <v>710</v>
      </c>
      <c r="B16" s="39" t="s">
        <v>9</v>
      </c>
      <c r="C16" s="40">
        <f>804000+27000</f>
        <v>831000</v>
      </c>
      <c r="D16" s="41">
        <f>361000+20000</f>
        <v>381000</v>
      </c>
      <c r="E16" s="42">
        <f>905500-73000</f>
        <v>832500</v>
      </c>
      <c r="F16" s="41">
        <v>381000</v>
      </c>
    </row>
    <row r="17" spans="1:6" ht="16.5">
      <c r="A17" s="44">
        <v>750</v>
      </c>
      <c r="B17" s="39" t="s">
        <v>26</v>
      </c>
      <c r="C17" s="40">
        <v>466988</v>
      </c>
      <c r="D17" s="41">
        <v>127200</v>
      </c>
      <c r="E17" s="42">
        <f>4907842-20000</f>
        <v>4887842</v>
      </c>
      <c r="F17" s="41">
        <v>127200</v>
      </c>
    </row>
    <row r="18" spans="1:6" ht="16.5">
      <c r="A18" s="44">
        <v>754</v>
      </c>
      <c r="B18" s="39" t="s">
        <v>10</v>
      </c>
      <c r="C18" s="40">
        <v>2903010</v>
      </c>
      <c r="D18" s="41">
        <v>2903000</v>
      </c>
      <c r="E18" s="42">
        <v>2973000</v>
      </c>
      <c r="F18" s="41">
        <v>2903000</v>
      </c>
    </row>
    <row r="19" spans="1:6" ht="55.5" customHeight="1">
      <c r="A19" s="44">
        <v>756</v>
      </c>
      <c r="B19" s="45" t="s">
        <v>24</v>
      </c>
      <c r="C19" s="40">
        <f>4858568+80000+25000+6432</f>
        <v>4970000</v>
      </c>
      <c r="D19" s="41">
        <v>0</v>
      </c>
      <c r="E19" s="42">
        <v>0</v>
      </c>
      <c r="F19" s="41">
        <v>0</v>
      </c>
    </row>
    <row r="20" spans="1:6" ht="16.5">
      <c r="A20" s="44">
        <v>757</v>
      </c>
      <c r="B20" s="39" t="s">
        <v>11</v>
      </c>
      <c r="C20" s="40">
        <v>0</v>
      </c>
      <c r="D20" s="41">
        <v>0</v>
      </c>
      <c r="E20" s="42">
        <v>1000000</v>
      </c>
      <c r="F20" s="41">
        <v>0</v>
      </c>
    </row>
    <row r="21" spans="1:6" ht="16.5">
      <c r="A21" s="44">
        <v>758</v>
      </c>
      <c r="B21" s="39" t="s">
        <v>12</v>
      </c>
      <c r="C21" s="40">
        <v>20208417</v>
      </c>
      <c r="D21" s="41">
        <v>0</v>
      </c>
      <c r="E21" s="42">
        <v>106384</v>
      </c>
      <c r="F21" s="41">
        <v>0</v>
      </c>
    </row>
    <row r="22" spans="1:6" ht="16.5">
      <c r="A22" s="44">
        <v>801</v>
      </c>
      <c r="B22" s="39" t="s">
        <v>244</v>
      </c>
      <c r="C22" s="46">
        <v>624000</v>
      </c>
      <c r="D22" s="43">
        <v>0</v>
      </c>
      <c r="E22" s="42">
        <v>11107411</v>
      </c>
      <c r="F22" s="43">
        <v>0</v>
      </c>
    </row>
    <row r="23" spans="1:6" ht="16.5">
      <c r="A23" s="44">
        <v>851</v>
      </c>
      <c r="B23" s="39" t="s">
        <v>13</v>
      </c>
      <c r="C23" s="47">
        <v>1791000</v>
      </c>
      <c r="D23" s="48">
        <v>1791000</v>
      </c>
      <c r="E23" s="49">
        <f>2025760+66000</f>
        <v>2091760</v>
      </c>
      <c r="F23" s="48">
        <v>1791000</v>
      </c>
    </row>
    <row r="24" spans="1:6" ht="16.5">
      <c r="A24" s="44">
        <v>852</v>
      </c>
      <c r="B24" s="39" t="s">
        <v>17</v>
      </c>
      <c r="C24" s="47">
        <f>3613240+100000</f>
        <v>3713240</v>
      </c>
      <c r="D24" s="48">
        <v>7000</v>
      </c>
      <c r="E24" s="49">
        <f>6887884-3100</f>
        <v>6884784</v>
      </c>
      <c r="F24" s="48">
        <v>7000</v>
      </c>
    </row>
    <row r="25" spans="1:6" ht="16.5">
      <c r="A25" s="44">
        <v>853</v>
      </c>
      <c r="B25" s="39" t="s">
        <v>18</v>
      </c>
      <c r="C25" s="40">
        <v>950338</v>
      </c>
      <c r="D25" s="41">
        <v>61000</v>
      </c>
      <c r="E25" s="42">
        <f>1624842-100000</f>
        <v>1524842</v>
      </c>
      <c r="F25" s="41">
        <v>61000</v>
      </c>
    </row>
    <row r="26" spans="1:6" ht="16.5">
      <c r="A26" s="50">
        <v>854</v>
      </c>
      <c r="B26" s="51" t="s">
        <v>14</v>
      </c>
      <c r="C26" s="40">
        <v>322000</v>
      </c>
      <c r="D26" s="41">
        <v>0</v>
      </c>
      <c r="E26" s="42">
        <v>3065770</v>
      </c>
      <c r="F26" s="41">
        <v>0</v>
      </c>
    </row>
    <row r="27" spans="1:6" ht="16.5">
      <c r="A27" s="50">
        <v>900</v>
      </c>
      <c r="B27" s="51" t="s">
        <v>284</v>
      </c>
      <c r="C27" s="40">
        <v>79500</v>
      </c>
      <c r="D27" s="41">
        <v>0</v>
      </c>
      <c r="E27" s="42">
        <v>79500</v>
      </c>
      <c r="F27" s="41">
        <v>0</v>
      </c>
    </row>
    <row r="28" spans="1:6" ht="16.5">
      <c r="A28" s="50">
        <v>921</v>
      </c>
      <c r="B28" s="51" t="s">
        <v>25</v>
      </c>
      <c r="C28" s="40">
        <v>0</v>
      </c>
      <c r="D28" s="41">
        <v>0</v>
      </c>
      <c r="E28" s="42">
        <f>58000-12000</f>
        <v>46000</v>
      </c>
      <c r="F28" s="41">
        <v>0</v>
      </c>
    </row>
    <row r="29" spans="1:6" ht="17.25" thickBot="1">
      <c r="A29" s="50">
        <v>926</v>
      </c>
      <c r="B29" s="51" t="s">
        <v>290</v>
      </c>
      <c r="C29" s="40">
        <v>0</v>
      </c>
      <c r="D29" s="41">
        <v>0</v>
      </c>
      <c r="E29" s="42">
        <v>120000</v>
      </c>
      <c r="F29" s="41">
        <v>0</v>
      </c>
    </row>
    <row r="30" spans="1:6" ht="18.75" thickBot="1">
      <c r="A30" s="52"/>
      <c r="B30" s="53" t="s">
        <v>15</v>
      </c>
      <c r="C30" s="259">
        <f>SUM(C11:C29)</f>
        <v>37378493</v>
      </c>
      <c r="D30" s="259">
        <f>SUM(D11:D29)</f>
        <v>5303200</v>
      </c>
      <c r="E30" s="259">
        <f>SUM(E11:E29)</f>
        <v>37538493</v>
      </c>
      <c r="F30" s="259">
        <f>SUM(F11:F29)</f>
        <v>5303200</v>
      </c>
    </row>
    <row r="31" spans="1:6" ht="18">
      <c r="A31" s="54"/>
      <c r="B31" s="480" t="s">
        <v>275</v>
      </c>
      <c r="C31" s="481">
        <f>C30-E30</f>
        <v>-160000</v>
      </c>
      <c r="D31" s="55"/>
      <c r="E31" s="55"/>
      <c r="F31" s="56"/>
    </row>
    <row r="32" spans="1:6" ht="15">
      <c r="A32" s="8"/>
      <c r="B32" s="9"/>
      <c r="C32" s="6"/>
      <c r="D32" s="6"/>
      <c r="E32" s="6"/>
      <c r="F32" s="6"/>
    </row>
    <row r="33" spans="1:6" ht="15">
      <c r="A33" s="8"/>
      <c r="B33" s="9"/>
      <c r="C33" s="6"/>
      <c r="D33" s="6"/>
      <c r="E33" s="6"/>
      <c r="F33" s="6"/>
    </row>
    <row r="34" spans="1:6" ht="15">
      <c r="A34" s="8"/>
      <c r="B34" s="9"/>
      <c r="C34" s="6"/>
      <c r="D34" s="6"/>
      <c r="E34" s="6"/>
      <c r="F34" s="6"/>
    </row>
    <row r="35" spans="1:6" ht="15">
      <c r="A35" s="8"/>
      <c r="B35" s="9"/>
      <c r="C35" s="6"/>
      <c r="D35" s="6"/>
      <c r="E35" s="6"/>
      <c r="F35" s="6"/>
    </row>
    <row r="36" spans="1:6" ht="14.25">
      <c r="A36" s="3"/>
      <c r="B36" s="6"/>
      <c r="C36" s="6"/>
      <c r="D36" s="6"/>
      <c r="E36" s="6"/>
      <c r="F36" s="6"/>
    </row>
    <row r="37" spans="1:6" ht="14.25">
      <c r="A37" s="3"/>
      <c r="B37" s="6"/>
      <c r="C37" s="6"/>
      <c r="D37" s="6"/>
      <c r="E37" s="6"/>
      <c r="F37" s="6"/>
    </row>
    <row r="38" spans="1:6" ht="14.25">
      <c r="A38" s="3"/>
      <c r="B38" s="5"/>
      <c r="C38" s="6"/>
      <c r="D38" s="6"/>
      <c r="E38" s="6"/>
      <c r="F38" s="6"/>
    </row>
    <row r="39" spans="1:6" ht="14.25">
      <c r="A39" s="3"/>
      <c r="B39" s="5"/>
      <c r="C39" s="6"/>
      <c r="D39" s="6"/>
      <c r="E39" s="6"/>
      <c r="F39" s="6"/>
    </row>
    <row r="40" spans="1:6" ht="14.25">
      <c r="A40" s="3"/>
      <c r="B40" s="5"/>
      <c r="C40" s="6"/>
      <c r="D40" s="6"/>
      <c r="E40" s="6"/>
      <c r="F40" s="6"/>
    </row>
    <row r="41" spans="1:6" ht="14.25">
      <c r="A41" s="3"/>
      <c r="B41" s="5"/>
      <c r="C41" s="6"/>
      <c r="D41" s="6"/>
      <c r="E41" s="6"/>
      <c r="F41" s="6"/>
    </row>
    <row r="42" spans="1:6" ht="14.25">
      <c r="A42" s="3"/>
      <c r="B42" s="5"/>
      <c r="C42" s="6"/>
      <c r="D42" s="6"/>
      <c r="E42" s="6"/>
      <c r="F42" s="6"/>
    </row>
    <row r="43" spans="1:6" ht="14.25">
      <c r="A43" s="3"/>
      <c r="B43" s="12"/>
      <c r="C43" s="6"/>
      <c r="D43" s="6"/>
      <c r="E43" s="6"/>
      <c r="F43" s="6"/>
    </row>
    <row r="44" spans="1:6" ht="14.25">
      <c r="A44" s="3"/>
      <c r="B44" s="12"/>
      <c r="C44" s="6"/>
      <c r="D44" s="6"/>
      <c r="E44" s="6"/>
      <c r="F44" s="6"/>
    </row>
    <row r="45" spans="1:6" ht="14.25">
      <c r="A45" s="3"/>
      <c r="B45" s="5"/>
      <c r="C45" s="6"/>
      <c r="D45" s="6"/>
      <c r="E45" s="6"/>
      <c r="F45" s="6"/>
    </row>
    <row r="46" spans="1:6" ht="14.25">
      <c r="A46" s="3"/>
      <c r="B46" s="5"/>
      <c r="C46" s="6"/>
      <c r="D46" s="6"/>
      <c r="E46" s="6"/>
      <c r="F46" s="6"/>
    </row>
    <row r="47" spans="1:6" ht="14.25">
      <c r="A47" s="3"/>
      <c r="B47" s="5"/>
      <c r="C47" s="6"/>
      <c r="D47" s="6"/>
      <c r="E47" s="6"/>
      <c r="F47" s="6"/>
    </row>
    <row r="48" spans="1:6" ht="14.25">
      <c r="A48" s="3"/>
      <c r="B48" s="5"/>
      <c r="C48" s="6"/>
      <c r="D48" s="6"/>
      <c r="E48" s="6"/>
      <c r="F48" s="6"/>
    </row>
    <row r="49" spans="1:6" ht="14.25">
      <c r="A49" s="3"/>
      <c r="B49" s="5"/>
      <c r="C49" s="6"/>
      <c r="D49" s="6"/>
      <c r="E49" s="6"/>
      <c r="F49" s="6"/>
    </row>
    <row r="50" spans="1:6" ht="14.25">
      <c r="A50" s="3"/>
      <c r="B50" s="5"/>
      <c r="C50" s="6"/>
      <c r="D50" s="6"/>
      <c r="E50" s="6"/>
      <c r="F50" s="6"/>
    </row>
    <row r="51" spans="1:6" ht="15">
      <c r="A51" s="3"/>
      <c r="B51" s="5"/>
      <c r="C51" s="7"/>
      <c r="D51" s="6"/>
      <c r="E51" s="6"/>
      <c r="F51" s="6"/>
    </row>
    <row r="52" spans="1:6" ht="15">
      <c r="A52" s="5"/>
      <c r="B52" s="4"/>
      <c r="C52" s="7"/>
      <c r="D52" s="7"/>
      <c r="E52" s="7"/>
      <c r="F52" s="7"/>
    </row>
    <row r="53" spans="1:6" ht="12.75">
      <c r="A53" s="1"/>
      <c r="B53" s="1"/>
      <c r="C53" s="2"/>
      <c r="D53" s="2"/>
      <c r="E53" s="2"/>
      <c r="F53" s="2"/>
    </row>
  </sheetData>
  <sheetProtection/>
  <mergeCells count="6">
    <mergeCell ref="A6:F6"/>
    <mergeCell ref="A7:F7"/>
    <mergeCell ref="E9:F9"/>
    <mergeCell ref="A9:A10"/>
    <mergeCell ref="B9:B10"/>
    <mergeCell ref="C9:D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5.125" style="0" customWidth="1"/>
    <col min="2" max="2" width="59.75390625" style="0" bestFit="1" customWidth="1"/>
    <col min="3" max="3" width="13.75390625" style="0" bestFit="1" customWidth="1"/>
    <col min="4" max="4" width="25.375" style="0" bestFit="1" customWidth="1"/>
  </cols>
  <sheetData>
    <row r="1" spans="1:4" ht="15.75">
      <c r="A1" s="27"/>
      <c r="B1" s="27"/>
      <c r="D1" s="110" t="s">
        <v>265</v>
      </c>
    </row>
    <row r="2" spans="1:4" ht="15.75">
      <c r="A2" s="27"/>
      <c r="B2" s="27"/>
      <c r="D2" s="29" t="s">
        <v>326</v>
      </c>
    </row>
    <row r="3" spans="1:4" ht="15.75">
      <c r="A3" s="27"/>
      <c r="B3" s="27"/>
      <c r="D3" s="29" t="s">
        <v>21</v>
      </c>
    </row>
    <row r="4" spans="1:4" ht="15.75">
      <c r="A4" s="27"/>
      <c r="B4" s="27"/>
      <c r="D4" s="30" t="s">
        <v>327</v>
      </c>
    </row>
    <row r="5" spans="1:4" ht="15">
      <c r="A5" s="27"/>
      <c r="B5" s="27"/>
      <c r="C5" s="27"/>
      <c r="D5" s="27"/>
    </row>
    <row r="6" spans="1:4" ht="15">
      <c r="A6" s="27"/>
      <c r="B6" s="27"/>
      <c r="C6" s="27"/>
      <c r="D6" s="27"/>
    </row>
    <row r="7" spans="1:4" ht="15">
      <c r="A7" s="27"/>
      <c r="B7" s="27"/>
      <c r="C7" s="27"/>
      <c r="D7" s="27"/>
    </row>
    <row r="8" spans="1:4" ht="15.75" customHeight="1">
      <c r="A8" s="27"/>
      <c r="B8" s="27"/>
      <c r="C8" s="27"/>
      <c r="D8" s="27"/>
    </row>
    <row r="9" spans="1:5" ht="18" customHeight="1">
      <c r="A9" s="648" t="s">
        <v>229</v>
      </c>
      <c r="B9" s="660"/>
      <c r="C9" s="660"/>
      <c r="D9" s="660"/>
      <c r="E9" s="661"/>
    </row>
    <row r="10" spans="1:5" ht="18.75" customHeight="1">
      <c r="A10" s="648" t="s">
        <v>230</v>
      </c>
      <c r="B10" s="660"/>
      <c r="C10" s="660"/>
      <c r="D10" s="660"/>
      <c r="E10" s="661"/>
    </row>
    <row r="11" spans="1:5" ht="19.5">
      <c r="A11" s="648" t="s">
        <v>308</v>
      </c>
      <c r="B11" s="660"/>
      <c r="C11" s="660"/>
      <c r="D11" s="660"/>
      <c r="E11" s="661"/>
    </row>
    <row r="12" spans="1:4" ht="15">
      <c r="A12" s="27"/>
      <c r="B12" s="27"/>
      <c r="C12" s="27"/>
      <c r="D12" s="27"/>
    </row>
    <row r="13" spans="1:4" ht="15" customHeight="1" thickBot="1">
      <c r="A13" s="317"/>
      <c r="B13" s="317"/>
      <c r="C13" s="317"/>
      <c r="D13" s="177" t="s">
        <v>31</v>
      </c>
    </row>
    <row r="14" spans="1:4" ht="36">
      <c r="A14" s="318" t="s">
        <v>231</v>
      </c>
      <c r="B14" s="319" t="s">
        <v>232</v>
      </c>
      <c r="C14" s="320" t="s">
        <v>233</v>
      </c>
      <c r="D14" s="321" t="s">
        <v>221</v>
      </c>
    </row>
    <row r="15" spans="1:4" ht="18" customHeight="1">
      <c r="A15" s="322"/>
      <c r="B15" s="323" t="s">
        <v>234</v>
      </c>
      <c r="C15" s="324" t="s">
        <v>235</v>
      </c>
      <c r="D15" s="325">
        <f>SUM(D16:D17)</f>
        <v>1556000</v>
      </c>
    </row>
    <row r="16" spans="1:4" ht="17.25" customHeight="1">
      <c r="A16" s="326">
        <v>1</v>
      </c>
      <c r="B16" s="316" t="s">
        <v>292</v>
      </c>
      <c r="C16" s="327">
        <v>931</v>
      </c>
      <c r="D16" s="315">
        <v>1396000</v>
      </c>
    </row>
    <row r="17" spans="1:4" ht="17.25" customHeight="1">
      <c r="A17" s="326">
        <v>2</v>
      </c>
      <c r="B17" s="316" t="s">
        <v>317</v>
      </c>
      <c r="C17" s="327">
        <v>950</v>
      </c>
      <c r="D17" s="315">
        <v>160000</v>
      </c>
    </row>
    <row r="18" spans="1:4" ht="18" customHeight="1">
      <c r="A18" s="322"/>
      <c r="B18" s="323" t="s">
        <v>236</v>
      </c>
      <c r="C18" s="328" t="s">
        <v>235</v>
      </c>
      <c r="D18" s="325">
        <f>D19+D20</f>
        <v>1396000</v>
      </c>
    </row>
    <row r="19" spans="1:4" ht="18" customHeight="1">
      <c r="A19" s="326">
        <v>1</v>
      </c>
      <c r="B19" s="329" t="s">
        <v>318</v>
      </c>
      <c r="C19" s="330">
        <v>992</v>
      </c>
      <c r="D19" s="315">
        <v>146000</v>
      </c>
    </row>
    <row r="20" spans="1:4" ht="21" customHeight="1">
      <c r="A20" s="326">
        <v>2</v>
      </c>
      <c r="B20" s="316" t="s">
        <v>246</v>
      </c>
      <c r="C20" s="330">
        <v>982</v>
      </c>
      <c r="D20" s="315">
        <v>1250000</v>
      </c>
    </row>
    <row r="21" spans="1:4" ht="18.75" thickBot="1">
      <c r="A21" s="662" t="s">
        <v>237</v>
      </c>
      <c r="B21" s="663"/>
      <c r="C21" s="664"/>
      <c r="D21" s="331">
        <f>SUM(D15-D18)</f>
        <v>160000</v>
      </c>
    </row>
  </sheetData>
  <sheetProtection/>
  <mergeCells count="4">
    <mergeCell ref="A10:E10"/>
    <mergeCell ref="A11:E11"/>
    <mergeCell ref="A21:C21"/>
    <mergeCell ref="A9:E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workbookViewId="0" topLeftCell="A121">
      <selection activeCell="D141" sqref="D141"/>
    </sheetView>
  </sheetViews>
  <sheetFormatPr defaultColWidth="9.00390625" defaultRowHeight="12.75"/>
  <cols>
    <col min="1" max="1" width="9.25390625" style="0" bestFit="1" customWidth="1"/>
    <col min="2" max="2" width="9.375" style="0" bestFit="1" customWidth="1"/>
    <col min="4" max="4" width="49.875" style="0" bestFit="1" customWidth="1"/>
    <col min="5" max="5" width="13.00390625" style="0" bestFit="1" customWidth="1"/>
    <col min="6" max="6" width="12.125" style="0" customWidth="1"/>
    <col min="7" max="7" width="13.00390625" style="0" bestFit="1" customWidth="1"/>
    <col min="8" max="8" width="11.875" style="0" bestFit="1" customWidth="1"/>
    <col min="9" max="9" width="11.25390625" style="0" customWidth="1"/>
    <col min="10" max="10" width="10.125" style="0" customWidth="1"/>
    <col min="11" max="11" width="9.875" style="0" bestFit="1" customWidth="1"/>
    <col min="12" max="12" width="10.625" style="0" customWidth="1"/>
    <col min="13" max="13" width="11.75390625" style="0" customWidth="1"/>
    <col min="14" max="14" width="9.125" style="0" hidden="1" customWidth="1"/>
  </cols>
  <sheetData>
    <row r="1" spans="1:11" ht="15">
      <c r="A1" s="13"/>
      <c r="B1" s="14"/>
      <c r="C1" s="14"/>
      <c r="D1" s="14"/>
      <c r="E1" s="14"/>
      <c r="F1" s="14"/>
      <c r="G1" s="14"/>
      <c r="I1" s="14"/>
      <c r="J1" s="15"/>
      <c r="K1" s="57" t="s">
        <v>27</v>
      </c>
    </row>
    <row r="2" spans="1:11" ht="15">
      <c r="A2" s="14"/>
      <c r="B2" s="14"/>
      <c r="C2" s="14"/>
      <c r="D2" s="14"/>
      <c r="E2" s="14"/>
      <c r="F2" s="14"/>
      <c r="G2" s="14"/>
      <c r="I2" s="14"/>
      <c r="J2" s="15"/>
      <c r="K2" s="29" t="s">
        <v>326</v>
      </c>
    </row>
    <row r="3" spans="1:11" ht="15">
      <c r="A3" s="14"/>
      <c r="B3" s="14"/>
      <c r="C3" s="14"/>
      <c r="D3" s="14"/>
      <c r="E3" s="14"/>
      <c r="F3" s="14"/>
      <c r="G3" s="14"/>
      <c r="I3" s="14"/>
      <c r="J3" s="15"/>
      <c r="K3" s="29" t="s">
        <v>21</v>
      </c>
    </row>
    <row r="4" spans="1:11" ht="15">
      <c r="A4" s="14"/>
      <c r="B4" s="14"/>
      <c r="C4" s="14"/>
      <c r="D4" s="14"/>
      <c r="E4" s="14"/>
      <c r="F4" s="14"/>
      <c r="G4" s="13"/>
      <c r="I4" s="14"/>
      <c r="J4" s="15"/>
      <c r="K4" s="30" t="s">
        <v>327</v>
      </c>
    </row>
    <row r="5" spans="1:10" ht="12.75">
      <c r="A5" s="14"/>
      <c r="B5" s="14"/>
      <c r="C5" s="14"/>
      <c r="D5" s="14"/>
      <c r="E5" s="14"/>
      <c r="F5" s="14"/>
      <c r="G5" s="14"/>
      <c r="H5" s="14"/>
      <c r="I5" s="14"/>
      <c r="J5" s="15"/>
    </row>
    <row r="6" spans="1:13" ht="18" customHeight="1">
      <c r="A6" s="489" t="s">
        <v>28</v>
      </c>
      <c r="B6" s="490"/>
      <c r="C6" s="490"/>
      <c r="D6" s="490"/>
      <c r="E6" s="490"/>
      <c r="F6" s="490"/>
      <c r="G6" s="490"/>
      <c r="H6" s="490"/>
      <c r="I6" s="490"/>
      <c r="J6" s="491"/>
      <c r="K6" s="491"/>
      <c r="L6" s="491"/>
      <c r="M6" s="491"/>
    </row>
    <row r="7" spans="1:13" ht="15.75" customHeight="1">
      <c r="A7" s="489" t="s">
        <v>300</v>
      </c>
      <c r="B7" s="490"/>
      <c r="C7" s="490"/>
      <c r="D7" s="490"/>
      <c r="E7" s="490"/>
      <c r="F7" s="490"/>
      <c r="G7" s="490"/>
      <c r="H7" s="490"/>
      <c r="I7" s="490"/>
      <c r="J7" s="491"/>
      <c r="K7" s="491"/>
      <c r="L7" s="491"/>
      <c r="M7" s="491"/>
    </row>
    <row r="8" spans="1:13" ht="15.75" customHeight="1">
      <c r="A8" s="489" t="s">
        <v>29</v>
      </c>
      <c r="B8" s="490"/>
      <c r="C8" s="490"/>
      <c r="D8" s="490"/>
      <c r="E8" s="490"/>
      <c r="F8" s="490"/>
      <c r="G8" s="490"/>
      <c r="H8" s="490"/>
      <c r="I8" s="490"/>
      <c r="J8" s="491"/>
      <c r="K8" s="491"/>
      <c r="L8" s="491"/>
      <c r="M8" s="491"/>
    </row>
    <row r="9" spans="1:13" ht="18" customHeight="1">
      <c r="A9" s="489" t="s">
        <v>30</v>
      </c>
      <c r="B9" s="490"/>
      <c r="C9" s="490"/>
      <c r="D9" s="490"/>
      <c r="E9" s="490"/>
      <c r="F9" s="490"/>
      <c r="G9" s="490"/>
      <c r="H9" s="490"/>
      <c r="I9" s="490"/>
      <c r="J9" s="491"/>
      <c r="K9" s="491"/>
      <c r="L9" s="491"/>
      <c r="M9" s="491"/>
    </row>
    <row r="10" spans="1:13" ht="13.5" thickBot="1">
      <c r="A10" s="14"/>
      <c r="B10" s="14"/>
      <c r="C10" s="14"/>
      <c r="D10" s="14"/>
      <c r="E10" s="14"/>
      <c r="F10" s="14"/>
      <c r="G10" s="14"/>
      <c r="H10" s="14"/>
      <c r="I10" s="14"/>
      <c r="J10" s="15"/>
      <c r="M10" s="16" t="s">
        <v>31</v>
      </c>
    </row>
    <row r="11" spans="1:13" ht="15.75" customHeight="1">
      <c r="A11" s="504" t="s">
        <v>32</v>
      </c>
      <c r="B11" s="507" t="s">
        <v>33</v>
      </c>
      <c r="C11" s="507" t="s">
        <v>34</v>
      </c>
      <c r="D11" s="507" t="s">
        <v>35</v>
      </c>
      <c r="E11" s="492" t="s">
        <v>15</v>
      </c>
      <c r="F11" s="495" t="s">
        <v>36</v>
      </c>
      <c r="G11" s="496"/>
      <c r="H11" s="496"/>
      <c r="I11" s="496"/>
      <c r="J11" s="496"/>
      <c r="K11" s="496"/>
      <c r="L11" s="496"/>
      <c r="M11" s="497"/>
    </row>
    <row r="12" spans="1:13" ht="16.5" customHeight="1">
      <c r="A12" s="505"/>
      <c r="B12" s="508"/>
      <c r="C12" s="508"/>
      <c r="D12" s="508"/>
      <c r="E12" s="493"/>
      <c r="F12" s="498" t="s">
        <v>37</v>
      </c>
      <c r="G12" s="500" t="s">
        <v>38</v>
      </c>
      <c r="H12" s="501"/>
      <c r="I12" s="502"/>
      <c r="J12" s="498" t="s">
        <v>39</v>
      </c>
      <c r="K12" s="500" t="s">
        <v>38</v>
      </c>
      <c r="L12" s="501"/>
      <c r="M12" s="503"/>
    </row>
    <row r="13" spans="1:13" ht="127.5">
      <c r="A13" s="506"/>
      <c r="B13" s="509"/>
      <c r="C13" s="509"/>
      <c r="D13" s="509"/>
      <c r="E13" s="494"/>
      <c r="F13" s="499"/>
      <c r="G13" s="60" t="s">
        <v>40</v>
      </c>
      <c r="H13" s="60" t="s">
        <v>41</v>
      </c>
      <c r="I13" s="60" t="s">
        <v>42</v>
      </c>
      <c r="J13" s="499"/>
      <c r="K13" s="60" t="s">
        <v>40</v>
      </c>
      <c r="L13" s="60" t="s">
        <v>41</v>
      </c>
      <c r="M13" s="336" t="s">
        <v>42</v>
      </c>
    </row>
    <row r="14" spans="1:13" ht="13.5" thickBot="1">
      <c r="A14" s="337">
        <v>1</v>
      </c>
      <c r="B14" s="61">
        <v>2</v>
      </c>
      <c r="C14" s="61">
        <v>3</v>
      </c>
      <c r="D14" s="61">
        <v>4</v>
      </c>
      <c r="E14" s="62">
        <v>5</v>
      </c>
      <c r="F14" s="63">
        <v>6</v>
      </c>
      <c r="G14" s="64">
        <v>7</v>
      </c>
      <c r="H14" s="64">
        <v>8</v>
      </c>
      <c r="I14" s="64">
        <v>9</v>
      </c>
      <c r="J14" s="63">
        <v>10</v>
      </c>
      <c r="K14" s="64">
        <v>11</v>
      </c>
      <c r="L14" s="64">
        <v>12</v>
      </c>
      <c r="M14" s="338">
        <v>13</v>
      </c>
    </row>
    <row r="15" spans="1:13" ht="18" thickBot="1" thickTop="1">
      <c r="A15" s="339" t="s">
        <v>43</v>
      </c>
      <c r="B15" s="65"/>
      <c r="C15" s="66"/>
      <c r="D15" s="66" t="s">
        <v>5</v>
      </c>
      <c r="E15" s="67">
        <f>SUM(E16)</f>
        <v>22000</v>
      </c>
      <c r="F15" s="68">
        <f aca="true" t="shared" si="0" ref="F15:M15">SUM(F16)</f>
        <v>22000</v>
      </c>
      <c r="G15" s="67">
        <f t="shared" si="0"/>
        <v>0</v>
      </c>
      <c r="H15" s="67">
        <f t="shared" si="0"/>
        <v>22000</v>
      </c>
      <c r="I15" s="67">
        <f t="shared" si="0"/>
        <v>0</v>
      </c>
      <c r="J15" s="68">
        <f t="shared" si="0"/>
        <v>0</v>
      </c>
      <c r="K15" s="67">
        <f t="shared" si="0"/>
        <v>0</v>
      </c>
      <c r="L15" s="67">
        <f t="shared" si="0"/>
        <v>0</v>
      </c>
      <c r="M15" s="340">
        <f t="shared" si="0"/>
        <v>0</v>
      </c>
    </row>
    <row r="16" spans="1:13" ht="24.75" customHeight="1" thickTop="1">
      <c r="A16" s="341"/>
      <c r="B16" s="69" t="s">
        <v>44</v>
      </c>
      <c r="C16" s="70"/>
      <c r="D16" s="71" t="s">
        <v>45</v>
      </c>
      <c r="E16" s="72">
        <f>SUM(J16+F16)</f>
        <v>22000</v>
      </c>
      <c r="F16" s="73">
        <f>SUM(G16:I16)</f>
        <v>22000</v>
      </c>
      <c r="G16" s="72">
        <f>G17</f>
        <v>0</v>
      </c>
      <c r="H16" s="72">
        <f>H17</f>
        <v>22000</v>
      </c>
      <c r="I16" s="72">
        <f>I17</f>
        <v>0</v>
      </c>
      <c r="J16" s="73">
        <f>SUM(K16:M16)</f>
        <v>0</v>
      </c>
      <c r="K16" s="72">
        <f>K17</f>
        <v>0</v>
      </c>
      <c r="L16" s="72">
        <f>L17</f>
        <v>0</v>
      </c>
      <c r="M16" s="342">
        <f>M17</f>
        <v>0</v>
      </c>
    </row>
    <row r="17" spans="1:13" ht="57" customHeight="1" thickBot="1">
      <c r="A17" s="343"/>
      <c r="B17" s="75"/>
      <c r="C17" s="75">
        <v>2110</v>
      </c>
      <c r="D17" s="76" t="s">
        <v>46</v>
      </c>
      <c r="E17" s="72">
        <f>SUM(J17+F17)</f>
        <v>22000</v>
      </c>
      <c r="F17" s="73">
        <f>SUM(G17:I17)</f>
        <v>22000</v>
      </c>
      <c r="G17" s="77">
        <v>0</v>
      </c>
      <c r="H17" s="77">
        <f>22000</f>
        <v>22000</v>
      </c>
      <c r="I17" s="77">
        <v>0</v>
      </c>
      <c r="J17" s="73">
        <f>SUM(K17:M17)</f>
        <v>0</v>
      </c>
      <c r="K17" s="77">
        <v>0</v>
      </c>
      <c r="L17" s="77">
        <v>0</v>
      </c>
      <c r="M17" s="344">
        <v>0</v>
      </c>
    </row>
    <row r="18" spans="1:13" ht="18" thickBot="1" thickTop="1">
      <c r="A18" s="345" t="s">
        <v>23</v>
      </c>
      <c r="B18" s="78"/>
      <c r="C18" s="79"/>
      <c r="D18" s="80" t="s">
        <v>6</v>
      </c>
      <c r="E18" s="67">
        <f>SUM(E19)</f>
        <v>20000</v>
      </c>
      <c r="F18" s="68">
        <f aca="true" t="shared" si="1" ref="F18:M18">SUM(F19)</f>
        <v>20000</v>
      </c>
      <c r="G18" s="67">
        <f t="shared" si="1"/>
        <v>20000</v>
      </c>
      <c r="H18" s="67">
        <f t="shared" si="1"/>
        <v>0</v>
      </c>
      <c r="I18" s="67">
        <f t="shared" si="1"/>
        <v>0</v>
      </c>
      <c r="J18" s="68">
        <f t="shared" si="1"/>
        <v>0</v>
      </c>
      <c r="K18" s="67">
        <f t="shared" si="1"/>
        <v>0</v>
      </c>
      <c r="L18" s="67">
        <f t="shared" si="1"/>
        <v>0</v>
      </c>
      <c r="M18" s="340">
        <f t="shared" si="1"/>
        <v>0</v>
      </c>
    </row>
    <row r="19" spans="1:13" ht="15.75" thickTop="1">
      <c r="A19" s="346"/>
      <c r="B19" s="81" t="s">
        <v>136</v>
      </c>
      <c r="C19" s="82"/>
      <c r="D19" s="71" t="s">
        <v>137</v>
      </c>
      <c r="E19" s="72">
        <f>SUM(J19+F19)</f>
        <v>20000</v>
      </c>
      <c r="F19" s="73">
        <f>SUM(G19:I19)</f>
        <v>20000</v>
      </c>
      <c r="G19" s="72">
        <f>G20</f>
        <v>20000</v>
      </c>
      <c r="H19" s="72">
        <f>H20</f>
        <v>0</v>
      </c>
      <c r="I19" s="72">
        <f>I20</f>
        <v>0</v>
      </c>
      <c r="J19" s="73">
        <f>SUM(K19:M19)</f>
        <v>0</v>
      </c>
      <c r="K19" s="72">
        <f>K20</f>
        <v>0</v>
      </c>
      <c r="L19" s="72">
        <f>L20</f>
        <v>0</v>
      </c>
      <c r="M19" s="342">
        <f>M20</f>
        <v>0</v>
      </c>
    </row>
    <row r="20" spans="1:13" ht="69" customHeight="1" thickBot="1">
      <c r="A20" s="347"/>
      <c r="B20" s="83"/>
      <c r="C20" s="83" t="s">
        <v>47</v>
      </c>
      <c r="D20" s="84" t="s">
        <v>48</v>
      </c>
      <c r="E20" s="72">
        <f>SUM(J20+F20)</f>
        <v>20000</v>
      </c>
      <c r="F20" s="73">
        <f>SUM(G20:I20)</f>
        <v>20000</v>
      </c>
      <c r="G20" s="77">
        <f>20000</f>
        <v>20000</v>
      </c>
      <c r="H20" s="77">
        <v>0</v>
      </c>
      <c r="I20" s="77">
        <v>0</v>
      </c>
      <c r="J20" s="73">
        <f>SUM(K20:M20)</f>
        <v>0</v>
      </c>
      <c r="K20" s="77">
        <v>0</v>
      </c>
      <c r="L20" s="77">
        <v>0</v>
      </c>
      <c r="M20" s="344">
        <v>0</v>
      </c>
    </row>
    <row r="21" spans="1:13" ht="18" thickBot="1" thickTop="1">
      <c r="A21" s="348">
        <v>600</v>
      </c>
      <c r="B21" s="85"/>
      <c r="C21" s="85"/>
      <c r="D21" s="80" t="s">
        <v>7</v>
      </c>
      <c r="E21" s="67">
        <f>SUM(E22)</f>
        <v>16000</v>
      </c>
      <c r="F21" s="68">
        <f aca="true" t="shared" si="2" ref="F21:M21">SUM(F22)</f>
        <v>16000</v>
      </c>
      <c r="G21" s="67">
        <f t="shared" si="2"/>
        <v>16000</v>
      </c>
      <c r="H21" s="67">
        <f t="shared" si="2"/>
        <v>0</v>
      </c>
      <c r="I21" s="67">
        <f t="shared" si="2"/>
        <v>0</v>
      </c>
      <c r="J21" s="68">
        <f t="shared" si="2"/>
        <v>0</v>
      </c>
      <c r="K21" s="67">
        <f t="shared" si="2"/>
        <v>0</v>
      </c>
      <c r="L21" s="67">
        <f t="shared" si="2"/>
        <v>0</v>
      </c>
      <c r="M21" s="340">
        <f t="shared" si="2"/>
        <v>0</v>
      </c>
    </row>
    <row r="22" spans="1:13" ht="15.75" thickTop="1">
      <c r="A22" s="341"/>
      <c r="B22" s="69">
        <v>60014</v>
      </c>
      <c r="C22" s="69"/>
      <c r="D22" s="70" t="s">
        <v>217</v>
      </c>
      <c r="E22" s="72">
        <f>SUM(J22+F22)</f>
        <v>16000</v>
      </c>
      <c r="F22" s="73">
        <f>SUM(G22:I22)</f>
        <v>16000</v>
      </c>
      <c r="G22" s="72">
        <f>SUM(G23:G23)</f>
        <v>16000</v>
      </c>
      <c r="H22" s="72">
        <f>SUM(H23:H23)</f>
        <v>0</v>
      </c>
      <c r="I22" s="72">
        <f>SUM(I23:I23)</f>
        <v>0</v>
      </c>
      <c r="J22" s="73">
        <f>SUM(K22:M22)</f>
        <v>0</v>
      </c>
      <c r="K22" s="72">
        <f>SUM(K23:K23)</f>
        <v>0</v>
      </c>
      <c r="L22" s="72">
        <f>SUM(L23:L23)</f>
        <v>0</v>
      </c>
      <c r="M22" s="342">
        <f>SUM(M23:M23)</f>
        <v>0</v>
      </c>
    </row>
    <row r="23" spans="1:13" ht="30.75" thickBot="1">
      <c r="A23" s="341"/>
      <c r="B23" s="69"/>
      <c r="C23" s="81" t="s">
        <v>266</v>
      </c>
      <c r="D23" s="332" t="s">
        <v>267</v>
      </c>
      <c r="E23" s="72">
        <f>SUM(J23+F23)</f>
        <v>16000</v>
      </c>
      <c r="F23" s="73">
        <f>SUM(G23:I23)</f>
        <v>16000</v>
      </c>
      <c r="G23" s="77">
        <v>16000</v>
      </c>
      <c r="H23" s="77">
        <v>0</v>
      </c>
      <c r="I23" s="77">
        <v>0</v>
      </c>
      <c r="J23" s="73">
        <f>SUM(K23:M23)</f>
        <v>0</v>
      </c>
      <c r="K23" s="77">
        <v>0</v>
      </c>
      <c r="L23" s="77">
        <v>0</v>
      </c>
      <c r="M23" s="344">
        <v>0</v>
      </c>
    </row>
    <row r="24" spans="1:13" ht="18" thickBot="1" thickTop="1">
      <c r="A24" s="348">
        <v>700</v>
      </c>
      <c r="B24" s="85"/>
      <c r="C24" s="85"/>
      <c r="D24" s="80" t="s">
        <v>8</v>
      </c>
      <c r="E24" s="67">
        <f>SUM(E25)</f>
        <v>461000</v>
      </c>
      <c r="F24" s="68">
        <f aca="true" t="shared" si="3" ref="F24:M24">SUM(F25)</f>
        <v>11000</v>
      </c>
      <c r="G24" s="67">
        <f t="shared" si="3"/>
        <v>0</v>
      </c>
      <c r="H24" s="67">
        <f t="shared" si="3"/>
        <v>11000</v>
      </c>
      <c r="I24" s="67">
        <f t="shared" si="3"/>
        <v>0</v>
      </c>
      <c r="J24" s="68">
        <f t="shared" si="3"/>
        <v>450000</v>
      </c>
      <c r="K24" s="67">
        <f t="shared" si="3"/>
        <v>450000</v>
      </c>
      <c r="L24" s="67">
        <f t="shared" si="3"/>
        <v>0</v>
      </c>
      <c r="M24" s="340">
        <f t="shared" si="3"/>
        <v>0</v>
      </c>
    </row>
    <row r="25" spans="1:13" ht="15.75" thickTop="1">
      <c r="A25" s="341"/>
      <c r="B25" s="69">
        <v>70005</v>
      </c>
      <c r="C25" s="69"/>
      <c r="D25" s="70" t="s">
        <v>49</v>
      </c>
      <c r="E25" s="72">
        <f>SUM(J25+F25)</f>
        <v>461000</v>
      </c>
      <c r="F25" s="73">
        <f>SUM(G25:I25)</f>
        <v>11000</v>
      </c>
      <c r="G25" s="72">
        <f>G26+G27</f>
        <v>0</v>
      </c>
      <c r="H25" s="72">
        <f>H26+H27</f>
        <v>11000</v>
      </c>
      <c r="I25" s="72">
        <f>I27+I26</f>
        <v>0</v>
      </c>
      <c r="J25" s="73">
        <f>SUM(K25:M25)</f>
        <v>450000</v>
      </c>
      <c r="K25" s="72">
        <f>K26+K27</f>
        <v>450000</v>
      </c>
      <c r="L25" s="72">
        <f>L26+L27</f>
        <v>0</v>
      </c>
      <c r="M25" s="342">
        <f>M27+M26</f>
        <v>0</v>
      </c>
    </row>
    <row r="26" spans="1:13" ht="15">
      <c r="A26" s="349"/>
      <c r="B26" s="86"/>
      <c r="C26" s="86" t="s">
        <v>50</v>
      </c>
      <c r="D26" s="88" t="s">
        <v>51</v>
      </c>
      <c r="E26" s="72">
        <f>SUM(J26+F26)</f>
        <v>450000</v>
      </c>
      <c r="F26" s="73">
        <f>SUM(G26:I26)</f>
        <v>0</v>
      </c>
      <c r="G26" s="77">
        <v>0</v>
      </c>
      <c r="H26" s="77">
        <v>0</v>
      </c>
      <c r="I26" s="77">
        <v>0</v>
      </c>
      <c r="J26" s="73">
        <f>SUM(K26:M26)</f>
        <v>450000</v>
      </c>
      <c r="K26" s="77">
        <f>450000</f>
        <v>450000</v>
      </c>
      <c r="L26" s="77">
        <v>0</v>
      </c>
      <c r="M26" s="344">
        <v>0</v>
      </c>
    </row>
    <row r="27" spans="1:13" ht="45.75" thickBot="1">
      <c r="A27" s="350"/>
      <c r="B27" s="75"/>
      <c r="C27" s="75">
        <v>2110</v>
      </c>
      <c r="D27" s="89" t="s">
        <v>46</v>
      </c>
      <c r="E27" s="90">
        <f>SUM(J27+F27)</f>
        <v>11000</v>
      </c>
      <c r="F27" s="91">
        <f>SUM(G27:I27)</f>
        <v>11000</v>
      </c>
      <c r="G27" s="90">
        <v>0</v>
      </c>
      <c r="H27" s="90">
        <f>11000</f>
        <v>11000</v>
      </c>
      <c r="I27" s="90">
        <v>0</v>
      </c>
      <c r="J27" s="91">
        <f>SUM(K27:M27)</f>
        <v>0</v>
      </c>
      <c r="K27" s="90">
        <v>0</v>
      </c>
      <c r="L27" s="90">
        <v>0</v>
      </c>
      <c r="M27" s="351">
        <v>0</v>
      </c>
    </row>
    <row r="28" spans="1:13" ht="18" thickBot="1" thickTop="1">
      <c r="A28" s="348">
        <v>710</v>
      </c>
      <c r="B28" s="85"/>
      <c r="C28" s="85"/>
      <c r="D28" s="80" t="s">
        <v>9</v>
      </c>
      <c r="E28" s="67">
        <f>SUM(E31+E33+E35+E29)</f>
        <v>831000</v>
      </c>
      <c r="F28" s="68">
        <f>SUM(F31+F33+F35+F29)</f>
        <v>811000</v>
      </c>
      <c r="G28" s="67">
        <f>SUM(G31+G33+G35+G29)</f>
        <v>450000</v>
      </c>
      <c r="H28" s="67">
        <f>SUM(H31+H33+H35+H29)</f>
        <v>361000</v>
      </c>
      <c r="I28" s="67">
        <f>SUM(I31+I33+I35+I29)</f>
        <v>0</v>
      </c>
      <c r="J28" s="68">
        <f>SUM(J31+J33+J35)</f>
        <v>20000</v>
      </c>
      <c r="K28" s="67">
        <f>SUM(K31+K33+K35)</f>
        <v>0</v>
      </c>
      <c r="L28" s="67">
        <f>SUM(L31+L33+L35)</f>
        <v>20000</v>
      </c>
      <c r="M28" s="340">
        <f>M31+M33+M35</f>
        <v>0</v>
      </c>
    </row>
    <row r="29" spans="1:13" ht="15.75" thickTop="1">
      <c r="A29" s="341"/>
      <c r="B29" s="69">
        <v>71012</v>
      </c>
      <c r="C29" s="69"/>
      <c r="D29" s="150" t="s">
        <v>141</v>
      </c>
      <c r="E29" s="72">
        <f>SUM(J29+F29)</f>
        <v>450000</v>
      </c>
      <c r="F29" s="73">
        <f>SUM(G29:I29)</f>
        <v>450000</v>
      </c>
      <c r="G29" s="72">
        <f>G30</f>
        <v>450000</v>
      </c>
      <c r="H29" s="72">
        <f>H30</f>
        <v>0</v>
      </c>
      <c r="I29" s="72">
        <f>I30</f>
        <v>0</v>
      </c>
      <c r="J29" s="73">
        <f aca="true" t="shared" si="4" ref="J29:J34">SUM(K29:M29)</f>
        <v>0</v>
      </c>
      <c r="K29" s="72">
        <f>K30</f>
        <v>0</v>
      </c>
      <c r="L29" s="72">
        <f>L30</f>
        <v>0</v>
      </c>
      <c r="M29" s="342">
        <f>M30</f>
        <v>0</v>
      </c>
    </row>
    <row r="30" spans="1:13" ht="15">
      <c r="A30" s="349"/>
      <c r="B30" s="86"/>
      <c r="C30" s="83" t="s">
        <v>66</v>
      </c>
      <c r="D30" s="94" t="s">
        <v>67</v>
      </c>
      <c r="E30" s="77">
        <f>SUM(J30+F30)</f>
        <v>450000</v>
      </c>
      <c r="F30" s="92">
        <f>SUM(G30:I30)</f>
        <v>450000</v>
      </c>
      <c r="G30" s="77">
        <f>423000+27000</f>
        <v>450000</v>
      </c>
      <c r="H30" s="77">
        <v>0</v>
      </c>
      <c r="I30" s="77">
        <v>0</v>
      </c>
      <c r="J30" s="92">
        <f t="shared" si="4"/>
        <v>0</v>
      </c>
      <c r="K30" s="77">
        <v>0</v>
      </c>
      <c r="L30" s="77">
        <v>0</v>
      </c>
      <c r="M30" s="344">
        <v>0</v>
      </c>
    </row>
    <row r="31" spans="1:13" ht="15">
      <c r="A31" s="341"/>
      <c r="B31" s="69">
        <v>71013</v>
      </c>
      <c r="C31" s="69"/>
      <c r="D31" s="70" t="s">
        <v>52</v>
      </c>
      <c r="E31" s="72">
        <f aca="true" t="shared" si="5" ref="E31:E36">SUM(J31+F31)</f>
        <v>92000</v>
      </c>
      <c r="F31" s="73">
        <f aca="true" t="shared" si="6" ref="F31:F36">SUM(G31:I31)</f>
        <v>92000</v>
      </c>
      <c r="G31" s="72">
        <f>G32</f>
        <v>0</v>
      </c>
      <c r="H31" s="72">
        <f>H32</f>
        <v>92000</v>
      </c>
      <c r="I31" s="72">
        <f>I32</f>
        <v>0</v>
      </c>
      <c r="J31" s="73">
        <f t="shared" si="4"/>
        <v>0</v>
      </c>
      <c r="K31" s="72">
        <f>K32</f>
        <v>0</v>
      </c>
      <c r="L31" s="72">
        <f>L32</f>
        <v>0</v>
      </c>
      <c r="M31" s="342">
        <f>M32</f>
        <v>0</v>
      </c>
    </row>
    <row r="32" spans="1:13" ht="45">
      <c r="A32" s="349"/>
      <c r="B32" s="86"/>
      <c r="C32" s="86">
        <v>2110</v>
      </c>
      <c r="D32" s="84" t="s">
        <v>46</v>
      </c>
      <c r="E32" s="77">
        <f t="shared" si="5"/>
        <v>92000</v>
      </c>
      <c r="F32" s="92">
        <f t="shared" si="6"/>
        <v>92000</v>
      </c>
      <c r="G32" s="77">
        <v>0</v>
      </c>
      <c r="H32" s="77">
        <f>92000</f>
        <v>92000</v>
      </c>
      <c r="I32" s="77">
        <v>0</v>
      </c>
      <c r="J32" s="92">
        <f t="shared" si="4"/>
        <v>0</v>
      </c>
      <c r="K32" s="77">
        <v>0</v>
      </c>
      <c r="L32" s="77">
        <v>0</v>
      </c>
      <c r="M32" s="344">
        <v>0</v>
      </c>
    </row>
    <row r="33" spans="1:13" ht="15">
      <c r="A33" s="349"/>
      <c r="B33" s="86">
        <v>71014</v>
      </c>
      <c r="C33" s="86"/>
      <c r="D33" s="88" t="s">
        <v>53</v>
      </c>
      <c r="E33" s="72">
        <f t="shared" si="5"/>
        <v>23000</v>
      </c>
      <c r="F33" s="73">
        <f t="shared" si="6"/>
        <v>23000</v>
      </c>
      <c r="G33" s="77">
        <f>G34</f>
        <v>0</v>
      </c>
      <c r="H33" s="77">
        <f>H34</f>
        <v>23000</v>
      </c>
      <c r="I33" s="77">
        <f>I34</f>
        <v>0</v>
      </c>
      <c r="J33" s="73">
        <f t="shared" si="4"/>
        <v>0</v>
      </c>
      <c r="K33" s="77">
        <f>K34</f>
        <v>0</v>
      </c>
      <c r="L33" s="77">
        <f>L34</f>
        <v>0</v>
      </c>
      <c r="M33" s="344">
        <f>M34</f>
        <v>0</v>
      </c>
    </row>
    <row r="34" spans="1:13" ht="45">
      <c r="A34" s="349"/>
      <c r="B34" s="86"/>
      <c r="C34" s="86">
        <v>2110</v>
      </c>
      <c r="D34" s="84" t="s">
        <v>46</v>
      </c>
      <c r="E34" s="72">
        <f t="shared" si="5"/>
        <v>23000</v>
      </c>
      <c r="F34" s="73">
        <f t="shared" si="6"/>
        <v>23000</v>
      </c>
      <c r="G34" s="77">
        <v>0</v>
      </c>
      <c r="H34" s="77">
        <v>23000</v>
      </c>
      <c r="I34" s="77">
        <v>0</v>
      </c>
      <c r="J34" s="73">
        <f t="shared" si="4"/>
        <v>0</v>
      </c>
      <c r="K34" s="77">
        <v>0</v>
      </c>
      <c r="L34" s="77">
        <v>0</v>
      </c>
      <c r="M34" s="344">
        <v>0</v>
      </c>
    </row>
    <row r="35" spans="1:13" ht="15">
      <c r="A35" s="349"/>
      <c r="B35" s="86">
        <v>71015</v>
      </c>
      <c r="C35" s="86"/>
      <c r="D35" s="88" t="s">
        <v>54</v>
      </c>
      <c r="E35" s="72">
        <f>SUM(J35+F35)</f>
        <v>266000</v>
      </c>
      <c r="F35" s="73">
        <f>SUM(G35:I35)</f>
        <v>246000</v>
      </c>
      <c r="G35" s="77">
        <f aca="true" t="shared" si="7" ref="G35:M35">SUM(G36)</f>
        <v>0</v>
      </c>
      <c r="H35" s="77">
        <f t="shared" si="7"/>
        <v>246000</v>
      </c>
      <c r="I35" s="77">
        <f t="shared" si="7"/>
        <v>0</v>
      </c>
      <c r="J35" s="92">
        <f>SUM(J36:J37)</f>
        <v>20000</v>
      </c>
      <c r="K35" s="77">
        <f t="shared" si="7"/>
        <v>0</v>
      </c>
      <c r="L35" s="77">
        <f>SUM(L36:L37)</f>
        <v>20000</v>
      </c>
      <c r="M35" s="344">
        <f t="shared" si="7"/>
        <v>0</v>
      </c>
    </row>
    <row r="36" spans="1:13" ht="45">
      <c r="A36" s="349"/>
      <c r="B36" s="86"/>
      <c r="C36" s="86">
        <v>2110</v>
      </c>
      <c r="D36" s="84" t="s">
        <v>46</v>
      </c>
      <c r="E36" s="72">
        <f t="shared" si="5"/>
        <v>246000</v>
      </c>
      <c r="F36" s="73">
        <f t="shared" si="6"/>
        <v>246000</v>
      </c>
      <c r="G36" s="77">
        <v>0</v>
      </c>
      <c r="H36" s="77">
        <f>246000</f>
        <v>246000</v>
      </c>
      <c r="I36" s="77">
        <v>0</v>
      </c>
      <c r="J36" s="73">
        <f>SUM(K36:M36)</f>
        <v>0</v>
      </c>
      <c r="K36" s="77">
        <v>0</v>
      </c>
      <c r="L36" s="77"/>
      <c r="M36" s="344">
        <v>0</v>
      </c>
    </row>
    <row r="37" spans="1:13" ht="68.25" customHeight="1" thickBot="1">
      <c r="A37" s="349"/>
      <c r="B37" s="86"/>
      <c r="C37" s="86">
        <v>6410</v>
      </c>
      <c r="D37" s="84" t="s">
        <v>315</v>
      </c>
      <c r="E37" s="72">
        <f>SUM(J37+F37)</f>
        <v>20000</v>
      </c>
      <c r="F37" s="73">
        <f>SUM(G37:I37)</f>
        <v>0</v>
      </c>
      <c r="G37" s="77">
        <v>0</v>
      </c>
      <c r="H37" s="77">
        <v>0</v>
      </c>
      <c r="I37" s="77">
        <v>0</v>
      </c>
      <c r="J37" s="73">
        <f>SUM(K37:M37)</f>
        <v>20000</v>
      </c>
      <c r="K37" s="77">
        <v>0</v>
      </c>
      <c r="L37" s="77">
        <v>20000</v>
      </c>
      <c r="M37" s="344">
        <v>0</v>
      </c>
    </row>
    <row r="38" spans="1:13" ht="18" thickBot="1" thickTop="1">
      <c r="A38" s="348">
        <v>750</v>
      </c>
      <c r="B38" s="85"/>
      <c r="C38" s="85"/>
      <c r="D38" s="80" t="s">
        <v>55</v>
      </c>
      <c r="E38" s="67">
        <f aca="true" t="shared" si="8" ref="E38:M38">SUM(E39+E46+E52+E41)</f>
        <v>466988</v>
      </c>
      <c r="F38" s="68">
        <f t="shared" si="8"/>
        <v>466988</v>
      </c>
      <c r="G38" s="67">
        <f t="shared" si="8"/>
        <v>338788</v>
      </c>
      <c r="H38" s="67">
        <f t="shared" si="8"/>
        <v>127200</v>
      </c>
      <c r="I38" s="67">
        <f t="shared" si="8"/>
        <v>1000</v>
      </c>
      <c r="J38" s="68">
        <f t="shared" si="8"/>
        <v>0</v>
      </c>
      <c r="K38" s="67">
        <f t="shared" si="8"/>
        <v>0</v>
      </c>
      <c r="L38" s="67">
        <f t="shared" si="8"/>
        <v>0</v>
      </c>
      <c r="M38" s="340">
        <f t="shared" si="8"/>
        <v>0</v>
      </c>
    </row>
    <row r="39" spans="1:13" ht="15.75" thickTop="1">
      <c r="A39" s="341"/>
      <c r="B39" s="69">
        <v>75011</v>
      </c>
      <c r="C39" s="69"/>
      <c r="D39" s="70" t="s">
        <v>56</v>
      </c>
      <c r="E39" s="72">
        <f>SUM(J39+F39)</f>
        <v>103200</v>
      </c>
      <c r="F39" s="73">
        <f>SUM(G39:I39)</f>
        <v>103200</v>
      </c>
      <c r="G39" s="72">
        <f>G40</f>
        <v>0</v>
      </c>
      <c r="H39" s="72">
        <f aca="true" t="shared" si="9" ref="H39:M39">H40</f>
        <v>103200</v>
      </c>
      <c r="I39" s="72">
        <f t="shared" si="9"/>
        <v>0</v>
      </c>
      <c r="J39" s="73">
        <f>SUM(K39:M39)</f>
        <v>0</v>
      </c>
      <c r="K39" s="72">
        <f t="shared" si="9"/>
        <v>0</v>
      </c>
      <c r="L39" s="72">
        <f t="shared" si="9"/>
        <v>0</v>
      </c>
      <c r="M39" s="342">
        <f t="shared" si="9"/>
        <v>0</v>
      </c>
    </row>
    <row r="40" spans="1:13" ht="45">
      <c r="A40" s="349"/>
      <c r="B40" s="86"/>
      <c r="C40" s="86">
        <v>2110</v>
      </c>
      <c r="D40" s="84" t="s">
        <v>46</v>
      </c>
      <c r="E40" s="72">
        <f aca="true" t="shared" si="10" ref="E40:E54">SUM(J40+F40)</f>
        <v>103200</v>
      </c>
      <c r="F40" s="73">
        <f aca="true" t="shared" si="11" ref="F40:F54">SUM(G40:I40)</f>
        <v>103200</v>
      </c>
      <c r="G40" s="77">
        <v>0</v>
      </c>
      <c r="H40" s="77">
        <f>103200</f>
        <v>103200</v>
      </c>
      <c r="I40" s="77">
        <v>0</v>
      </c>
      <c r="J40" s="73">
        <f>SUM(K40:M40)</f>
        <v>0</v>
      </c>
      <c r="K40" s="77">
        <v>0</v>
      </c>
      <c r="L40" s="77">
        <v>0</v>
      </c>
      <c r="M40" s="344">
        <v>0</v>
      </c>
    </row>
    <row r="41" spans="1:13" ht="15">
      <c r="A41" s="341"/>
      <c r="B41" s="69">
        <v>75018</v>
      </c>
      <c r="C41" s="69"/>
      <c r="D41" s="71" t="s">
        <v>312</v>
      </c>
      <c r="E41" s="72">
        <f>SUM(J41+F41)</f>
        <v>93788</v>
      </c>
      <c r="F41" s="73">
        <f aca="true" t="shared" si="12" ref="F41:F46">SUM(G41:I41)</f>
        <v>93788</v>
      </c>
      <c r="G41" s="72">
        <f aca="true" t="shared" si="13" ref="G41:M41">SUM(G42+G44)</f>
        <v>93788</v>
      </c>
      <c r="H41" s="72">
        <f t="shared" si="13"/>
        <v>0</v>
      </c>
      <c r="I41" s="72">
        <f t="shared" si="13"/>
        <v>0</v>
      </c>
      <c r="J41" s="73">
        <f t="shared" si="13"/>
        <v>0</v>
      </c>
      <c r="K41" s="72">
        <f t="shared" si="13"/>
        <v>0</v>
      </c>
      <c r="L41" s="72">
        <f t="shared" si="13"/>
        <v>0</v>
      </c>
      <c r="M41" s="342">
        <f t="shared" si="13"/>
        <v>0</v>
      </c>
    </row>
    <row r="42" spans="1:13" ht="60">
      <c r="A42" s="341"/>
      <c r="B42" s="69"/>
      <c r="C42" s="105" t="s">
        <v>309</v>
      </c>
      <c r="D42" s="380" t="s">
        <v>311</v>
      </c>
      <c r="E42" s="77">
        <f>SUM(J42+F42)</f>
        <v>79720</v>
      </c>
      <c r="F42" s="73">
        <f t="shared" si="12"/>
        <v>79720</v>
      </c>
      <c r="G42" s="72">
        <f>SUM(G43:G43)</f>
        <v>79720</v>
      </c>
      <c r="H42" s="72">
        <f>SUM(H43:H43)</f>
        <v>0</v>
      </c>
      <c r="I42" s="72">
        <f>SUM(I43:I43)</f>
        <v>0</v>
      </c>
      <c r="J42" s="73">
        <f>SUM(J43)</f>
        <v>0</v>
      </c>
      <c r="K42" s="72">
        <f>SUM(K43)</f>
        <v>0</v>
      </c>
      <c r="L42" s="72">
        <f>SUM(L43)</f>
        <v>0</v>
      </c>
      <c r="M42" s="342">
        <f>SUM(M43)</f>
        <v>0</v>
      </c>
    </row>
    <row r="43" spans="1:13" ht="15">
      <c r="A43" s="394"/>
      <c r="B43" s="387"/>
      <c r="C43" s="388"/>
      <c r="D43" s="389" t="s">
        <v>287</v>
      </c>
      <c r="E43" s="390">
        <f>SUM(J43+F43)</f>
        <v>79720</v>
      </c>
      <c r="F43" s="391">
        <f t="shared" si="12"/>
        <v>79720</v>
      </c>
      <c r="G43" s="391">
        <v>79720</v>
      </c>
      <c r="H43" s="391">
        <v>0</v>
      </c>
      <c r="I43" s="391">
        <v>0</v>
      </c>
      <c r="J43" s="391">
        <v>0</v>
      </c>
      <c r="K43" s="391">
        <v>0</v>
      </c>
      <c r="L43" s="391">
        <v>0</v>
      </c>
      <c r="M43" s="392">
        <v>0</v>
      </c>
    </row>
    <row r="44" spans="1:13" ht="60">
      <c r="A44" s="381"/>
      <c r="B44" s="382"/>
      <c r="C44" s="383" t="s">
        <v>310</v>
      </c>
      <c r="D44" s="380" t="s">
        <v>311</v>
      </c>
      <c r="E44" s="384">
        <f>SUM(F44+J44)</f>
        <v>14068</v>
      </c>
      <c r="F44" s="385">
        <f t="shared" si="12"/>
        <v>14068</v>
      </c>
      <c r="G44" s="384">
        <f>SUM(G45:G45)</f>
        <v>14068</v>
      </c>
      <c r="H44" s="384">
        <f>SUM(H45:H45)</f>
        <v>0</v>
      </c>
      <c r="I44" s="384">
        <f>SUM(I45:I45)</f>
        <v>0</v>
      </c>
      <c r="J44" s="385">
        <f>SUM(J45)</f>
        <v>0</v>
      </c>
      <c r="K44" s="384">
        <f>SUM(K45)</f>
        <v>0</v>
      </c>
      <c r="L44" s="384">
        <f>SUM(L45)</f>
        <v>0</v>
      </c>
      <c r="M44" s="386">
        <f>SUM(M45)</f>
        <v>0</v>
      </c>
    </row>
    <row r="45" spans="1:13" ht="15">
      <c r="A45" s="394"/>
      <c r="B45" s="387"/>
      <c r="C45" s="393"/>
      <c r="D45" s="389" t="s">
        <v>287</v>
      </c>
      <c r="E45" s="391">
        <f>SUM(F45+J45)</f>
        <v>14068</v>
      </c>
      <c r="F45" s="391">
        <f t="shared" si="12"/>
        <v>14068</v>
      </c>
      <c r="G45" s="391">
        <v>14068</v>
      </c>
      <c r="H45" s="391">
        <v>0</v>
      </c>
      <c r="I45" s="391">
        <v>0</v>
      </c>
      <c r="J45" s="391">
        <v>0</v>
      </c>
      <c r="K45" s="391">
        <v>0</v>
      </c>
      <c r="L45" s="391">
        <v>0</v>
      </c>
      <c r="M45" s="392">
        <v>0</v>
      </c>
    </row>
    <row r="46" spans="1:13" ht="15">
      <c r="A46" s="349"/>
      <c r="B46" s="86">
        <v>75020</v>
      </c>
      <c r="C46" s="86"/>
      <c r="D46" s="88" t="s">
        <v>57</v>
      </c>
      <c r="E46" s="72">
        <f t="shared" si="10"/>
        <v>245000</v>
      </c>
      <c r="F46" s="73">
        <f t="shared" si="12"/>
        <v>245000</v>
      </c>
      <c r="G46" s="77">
        <f>SUM(G47:G51)</f>
        <v>245000</v>
      </c>
      <c r="H46" s="77">
        <f>SUM(H47:H51)</f>
        <v>0</v>
      </c>
      <c r="I46" s="77">
        <f>SUM(I47:I51)</f>
        <v>0</v>
      </c>
      <c r="J46" s="73">
        <f aca="true" t="shared" si="14" ref="J46:J54">SUM(K46:M46)</f>
        <v>0</v>
      </c>
      <c r="K46" s="77">
        <f>SUM(K47:K51)</f>
        <v>0</v>
      </c>
      <c r="L46" s="77">
        <f>SUM(L47:L51)</f>
        <v>0</v>
      </c>
      <c r="M46" s="344">
        <f>SUM(M47:M51)</f>
        <v>0</v>
      </c>
    </row>
    <row r="47" spans="1:13" ht="51" customHeight="1">
      <c r="A47" s="349"/>
      <c r="B47" s="86"/>
      <c r="C47" s="83" t="s">
        <v>60</v>
      </c>
      <c r="D47" s="94" t="s">
        <v>61</v>
      </c>
      <c r="E47" s="72">
        <f t="shared" si="10"/>
        <v>130000</v>
      </c>
      <c r="F47" s="73">
        <f t="shared" si="11"/>
        <v>130000</v>
      </c>
      <c r="G47" s="77">
        <f>130000</f>
        <v>130000</v>
      </c>
      <c r="H47" s="77">
        <v>0</v>
      </c>
      <c r="I47" s="77">
        <v>0</v>
      </c>
      <c r="J47" s="73">
        <f>SUM(K47:M47)</f>
        <v>0</v>
      </c>
      <c r="K47" s="77">
        <v>0</v>
      </c>
      <c r="L47" s="77">
        <v>0</v>
      </c>
      <c r="M47" s="344">
        <v>0</v>
      </c>
    </row>
    <row r="48" spans="1:13" ht="15">
      <c r="A48" s="349"/>
      <c r="B48" s="86"/>
      <c r="C48" s="83" t="s">
        <v>62</v>
      </c>
      <c r="D48" s="94" t="s">
        <v>63</v>
      </c>
      <c r="E48" s="72">
        <f t="shared" si="10"/>
        <v>5000</v>
      </c>
      <c r="F48" s="73">
        <f t="shared" si="11"/>
        <v>5000</v>
      </c>
      <c r="G48" s="77">
        <f>5000</f>
        <v>5000</v>
      </c>
      <c r="H48" s="77">
        <v>0</v>
      </c>
      <c r="I48" s="77">
        <v>0</v>
      </c>
      <c r="J48" s="73">
        <f>SUM(K48:M48)</f>
        <v>0</v>
      </c>
      <c r="K48" s="77">
        <v>0</v>
      </c>
      <c r="L48" s="77">
        <v>0</v>
      </c>
      <c r="M48" s="344">
        <v>0</v>
      </c>
    </row>
    <row r="49" spans="1:13" ht="60">
      <c r="A49" s="349"/>
      <c r="B49" s="86"/>
      <c r="C49" s="83" t="s">
        <v>64</v>
      </c>
      <c r="D49" s="94" t="s">
        <v>65</v>
      </c>
      <c r="E49" s="72">
        <f t="shared" si="10"/>
        <v>30000</v>
      </c>
      <c r="F49" s="73">
        <f t="shared" si="11"/>
        <v>30000</v>
      </c>
      <c r="G49" s="77">
        <f>30000</f>
        <v>30000</v>
      </c>
      <c r="H49" s="77">
        <v>0</v>
      </c>
      <c r="I49" s="77">
        <v>0</v>
      </c>
      <c r="J49" s="73">
        <f t="shared" si="14"/>
        <v>0</v>
      </c>
      <c r="K49" s="77">
        <v>0</v>
      </c>
      <c r="L49" s="77">
        <v>0</v>
      </c>
      <c r="M49" s="344">
        <v>0</v>
      </c>
    </row>
    <row r="50" spans="1:13" ht="15">
      <c r="A50" s="349"/>
      <c r="B50" s="86"/>
      <c r="C50" s="83" t="s">
        <v>66</v>
      </c>
      <c r="D50" s="94" t="s">
        <v>67</v>
      </c>
      <c r="E50" s="72">
        <f t="shared" si="10"/>
        <v>65000</v>
      </c>
      <c r="F50" s="73">
        <f t="shared" si="11"/>
        <v>65000</v>
      </c>
      <c r="G50" s="77">
        <f>65000</f>
        <v>65000</v>
      </c>
      <c r="H50" s="77">
        <v>0</v>
      </c>
      <c r="I50" s="77">
        <v>0</v>
      </c>
      <c r="J50" s="73">
        <f t="shared" si="14"/>
        <v>0</v>
      </c>
      <c r="K50" s="77">
        <v>0</v>
      </c>
      <c r="L50" s="77">
        <v>0</v>
      </c>
      <c r="M50" s="344">
        <v>0</v>
      </c>
    </row>
    <row r="51" spans="1:13" ht="15">
      <c r="A51" s="349"/>
      <c r="B51" s="86"/>
      <c r="C51" s="83" t="s">
        <v>68</v>
      </c>
      <c r="D51" s="94" t="s">
        <v>69</v>
      </c>
      <c r="E51" s="77">
        <f t="shared" si="10"/>
        <v>15000</v>
      </c>
      <c r="F51" s="92">
        <f t="shared" si="11"/>
        <v>15000</v>
      </c>
      <c r="G51" s="77">
        <f>15000</f>
        <v>15000</v>
      </c>
      <c r="H51" s="77">
        <v>0</v>
      </c>
      <c r="I51" s="77">
        <v>0</v>
      </c>
      <c r="J51" s="92">
        <f t="shared" si="14"/>
        <v>0</v>
      </c>
      <c r="K51" s="77">
        <v>0</v>
      </c>
      <c r="L51" s="77">
        <v>0</v>
      </c>
      <c r="M51" s="344">
        <v>0</v>
      </c>
    </row>
    <row r="52" spans="1:13" ht="15">
      <c r="A52" s="349"/>
      <c r="B52" s="86">
        <v>75045</v>
      </c>
      <c r="C52" s="86"/>
      <c r="D52" s="88" t="s">
        <v>272</v>
      </c>
      <c r="E52" s="72">
        <f t="shared" si="10"/>
        <v>25000</v>
      </c>
      <c r="F52" s="73">
        <f t="shared" si="11"/>
        <v>25000</v>
      </c>
      <c r="G52" s="77">
        <f>SUM(G53:G54)</f>
        <v>0</v>
      </c>
      <c r="H52" s="77">
        <f>SUM(H53:H54)</f>
        <v>24000</v>
      </c>
      <c r="I52" s="77">
        <f>SUM(I53:I54)</f>
        <v>1000</v>
      </c>
      <c r="J52" s="73">
        <f t="shared" si="14"/>
        <v>0</v>
      </c>
      <c r="K52" s="77">
        <f>SUM(K53:K54)</f>
        <v>0</v>
      </c>
      <c r="L52" s="77">
        <f>SUM(L53:L54)</f>
        <v>0</v>
      </c>
      <c r="M52" s="344">
        <f>SUM(M53:M54)</f>
        <v>0</v>
      </c>
    </row>
    <row r="53" spans="1:13" ht="45">
      <c r="A53" s="349"/>
      <c r="B53" s="86"/>
      <c r="C53" s="86">
        <v>2110</v>
      </c>
      <c r="D53" s="84" t="s">
        <v>46</v>
      </c>
      <c r="E53" s="72">
        <f t="shared" si="10"/>
        <v>24000</v>
      </c>
      <c r="F53" s="73">
        <f t="shared" si="11"/>
        <v>24000</v>
      </c>
      <c r="G53" s="77">
        <v>0</v>
      </c>
      <c r="H53" s="77">
        <f>24000</f>
        <v>24000</v>
      </c>
      <c r="I53" s="77">
        <v>0</v>
      </c>
      <c r="J53" s="73">
        <f t="shared" si="14"/>
        <v>0</v>
      </c>
      <c r="K53" s="77">
        <v>0</v>
      </c>
      <c r="L53" s="77">
        <v>0</v>
      </c>
      <c r="M53" s="344">
        <v>0</v>
      </c>
    </row>
    <row r="54" spans="1:13" ht="45.75" thickBot="1">
      <c r="A54" s="343"/>
      <c r="B54" s="74"/>
      <c r="C54" s="74">
        <v>2120</v>
      </c>
      <c r="D54" s="84" t="s">
        <v>70</v>
      </c>
      <c r="E54" s="72">
        <f t="shared" si="10"/>
        <v>1000</v>
      </c>
      <c r="F54" s="73">
        <f t="shared" si="11"/>
        <v>1000</v>
      </c>
      <c r="G54" s="87">
        <v>0</v>
      </c>
      <c r="H54" s="87">
        <v>0</v>
      </c>
      <c r="I54" s="87">
        <f>1000</f>
        <v>1000</v>
      </c>
      <c r="J54" s="73">
        <f t="shared" si="14"/>
        <v>0</v>
      </c>
      <c r="K54" s="87">
        <v>0</v>
      </c>
      <c r="L54" s="87">
        <v>0</v>
      </c>
      <c r="M54" s="352">
        <v>0</v>
      </c>
    </row>
    <row r="55" spans="1:13" ht="34.5" thickBot="1" thickTop="1">
      <c r="A55" s="348">
        <v>754</v>
      </c>
      <c r="B55" s="85"/>
      <c r="C55" s="85"/>
      <c r="D55" s="95" t="s">
        <v>10</v>
      </c>
      <c r="E55" s="67">
        <f>SUM(E56)</f>
        <v>2903010</v>
      </c>
      <c r="F55" s="68">
        <f aca="true" t="shared" si="15" ref="F55:M55">SUM(F56)</f>
        <v>2903010</v>
      </c>
      <c r="G55" s="67">
        <f t="shared" si="15"/>
        <v>10</v>
      </c>
      <c r="H55" s="67">
        <f t="shared" si="15"/>
        <v>2903000</v>
      </c>
      <c r="I55" s="67">
        <f t="shared" si="15"/>
        <v>0</v>
      </c>
      <c r="J55" s="68">
        <f t="shared" si="15"/>
        <v>0</v>
      </c>
      <c r="K55" s="67">
        <f t="shared" si="15"/>
        <v>0</v>
      </c>
      <c r="L55" s="67">
        <f t="shared" si="15"/>
        <v>0</v>
      </c>
      <c r="M55" s="340">
        <f t="shared" si="15"/>
        <v>0</v>
      </c>
    </row>
    <row r="56" spans="1:13" ht="15.75" thickTop="1">
      <c r="A56" s="341"/>
      <c r="B56" s="69">
        <v>75411</v>
      </c>
      <c r="C56" s="69"/>
      <c r="D56" s="70" t="s">
        <v>71</v>
      </c>
      <c r="E56" s="72">
        <f>SUM(J56+F56)</f>
        <v>2903010</v>
      </c>
      <c r="F56" s="73">
        <f aca="true" t="shared" si="16" ref="F56:F65">SUM(G56:I56)</f>
        <v>2903010</v>
      </c>
      <c r="G56" s="72">
        <f>SUM(G57:G58)</f>
        <v>10</v>
      </c>
      <c r="H56" s="72">
        <f>SUM(H57:H58)</f>
        <v>2903000</v>
      </c>
      <c r="I56" s="72">
        <f>SUM(I57:I58)</f>
        <v>0</v>
      </c>
      <c r="J56" s="73">
        <f aca="true" t="shared" si="17" ref="J56:J65">SUM(K56:M56)</f>
        <v>0</v>
      </c>
      <c r="K56" s="72">
        <f>SUM(K57:K58)</f>
        <v>0</v>
      </c>
      <c r="L56" s="72">
        <f>SUM(L57:L58)</f>
        <v>0</v>
      </c>
      <c r="M56" s="342">
        <f>SUM(M57:M58)</f>
        <v>0</v>
      </c>
    </row>
    <row r="57" spans="1:13" ht="15">
      <c r="A57" s="349"/>
      <c r="B57" s="86"/>
      <c r="C57" s="86" t="s">
        <v>72</v>
      </c>
      <c r="D57" s="88" t="s">
        <v>69</v>
      </c>
      <c r="E57" s="77">
        <f>SUM(J57+F57)</f>
        <v>10</v>
      </c>
      <c r="F57" s="92">
        <f t="shared" si="16"/>
        <v>10</v>
      </c>
      <c r="G57" s="77">
        <v>10</v>
      </c>
      <c r="H57" s="77">
        <f>0</f>
        <v>0</v>
      </c>
      <c r="I57" s="77">
        <v>0</v>
      </c>
      <c r="J57" s="92">
        <f t="shared" si="17"/>
        <v>0</v>
      </c>
      <c r="K57" s="77">
        <v>0</v>
      </c>
      <c r="L57" s="77">
        <v>0</v>
      </c>
      <c r="M57" s="344">
        <v>0</v>
      </c>
    </row>
    <row r="58" spans="1:13" ht="45.75" thickBot="1">
      <c r="A58" s="350"/>
      <c r="B58" s="75"/>
      <c r="C58" s="75">
        <v>2110</v>
      </c>
      <c r="D58" s="89" t="s">
        <v>46</v>
      </c>
      <c r="E58" s="90">
        <f>SUM(J58+F58)</f>
        <v>2903000</v>
      </c>
      <c r="F58" s="91">
        <f t="shared" si="16"/>
        <v>2903000</v>
      </c>
      <c r="G58" s="90">
        <v>0</v>
      </c>
      <c r="H58" s="90">
        <v>2903000</v>
      </c>
      <c r="I58" s="90">
        <v>0</v>
      </c>
      <c r="J58" s="91">
        <f t="shared" si="17"/>
        <v>0</v>
      </c>
      <c r="K58" s="90">
        <v>0</v>
      </c>
      <c r="L58" s="90">
        <v>0</v>
      </c>
      <c r="M58" s="351">
        <v>0</v>
      </c>
    </row>
    <row r="59" spans="1:13" ht="67.5" thickBot="1" thickTop="1">
      <c r="A59" s="348">
        <v>756</v>
      </c>
      <c r="B59" s="85"/>
      <c r="C59" s="85"/>
      <c r="D59" s="95" t="s">
        <v>24</v>
      </c>
      <c r="E59" s="67">
        <f>G59+H59+I59</f>
        <v>4970000</v>
      </c>
      <c r="F59" s="68">
        <f t="shared" si="16"/>
        <v>4970000</v>
      </c>
      <c r="G59" s="67">
        <f>G63+G60</f>
        <v>4970000</v>
      </c>
      <c r="H59" s="67">
        <f>H63+H60</f>
        <v>0</v>
      </c>
      <c r="I59" s="67">
        <f>I63+I60</f>
        <v>0</v>
      </c>
      <c r="J59" s="68">
        <f t="shared" si="17"/>
        <v>0</v>
      </c>
      <c r="K59" s="67">
        <f>K63</f>
        <v>0</v>
      </c>
      <c r="L59" s="67">
        <f>L63</f>
        <v>0</v>
      </c>
      <c r="M59" s="340">
        <f>M63</f>
        <v>0</v>
      </c>
    </row>
    <row r="60" spans="1:13" ht="30.75" thickTop="1">
      <c r="A60" s="341"/>
      <c r="B60" s="69">
        <v>75618</v>
      </c>
      <c r="C60" s="69"/>
      <c r="D60" s="71" t="s">
        <v>73</v>
      </c>
      <c r="E60" s="72">
        <f>SUM(J60+F60)</f>
        <v>1030000</v>
      </c>
      <c r="F60" s="73">
        <f>SUM(G60:I60)</f>
        <v>1030000</v>
      </c>
      <c r="G60" s="72">
        <f>SUM(G61:G62)</f>
        <v>1030000</v>
      </c>
      <c r="H60" s="72">
        <f aca="true" t="shared" si="18" ref="H60:M60">SUM(H61:H62)</f>
        <v>0</v>
      </c>
      <c r="I60" s="72">
        <f t="shared" si="18"/>
        <v>0</v>
      </c>
      <c r="J60" s="73">
        <f t="shared" si="18"/>
        <v>0</v>
      </c>
      <c r="K60" s="72">
        <f t="shared" si="18"/>
        <v>0</v>
      </c>
      <c r="L60" s="72">
        <f t="shared" si="18"/>
        <v>0</v>
      </c>
      <c r="M60" s="342">
        <f t="shared" si="18"/>
        <v>0</v>
      </c>
    </row>
    <row r="61" spans="1:13" ht="15">
      <c r="A61" s="349"/>
      <c r="B61" s="86"/>
      <c r="C61" s="86" t="s">
        <v>58</v>
      </c>
      <c r="D61" s="88" t="s">
        <v>59</v>
      </c>
      <c r="E61" s="72">
        <f>SUM(J61+F61)</f>
        <v>860000</v>
      </c>
      <c r="F61" s="73">
        <f>SUM(G61:I61)</f>
        <v>860000</v>
      </c>
      <c r="G61" s="77">
        <f>780000+80000</f>
        <v>860000</v>
      </c>
      <c r="H61" s="77">
        <v>0</v>
      </c>
      <c r="I61" s="77">
        <v>0</v>
      </c>
      <c r="J61" s="73">
        <f>SUM(K61:M61)</f>
        <v>0</v>
      </c>
      <c r="K61" s="77"/>
      <c r="L61" s="77">
        <v>0</v>
      </c>
      <c r="M61" s="344">
        <v>0</v>
      </c>
    </row>
    <row r="62" spans="1:13" ht="51.75" customHeight="1">
      <c r="A62" s="349"/>
      <c r="B62" s="86"/>
      <c r="C62" s="86" t="s">
        <v>74</v>
      </c>
      <c r="D62" s="84" t="s">
        <v>75</v>
      </c>
      <c r="E62" s="77">
        <f>SUM(J62+F62)</f>
        <v>170000</v>
      </c>
      <c r="F62" s="92">
        <f>SUM(G62:I62)</f>
        <v>170000</v>
      </c>
      <c r="G62" s="77">
        <f>145000+25000</f>
        <v>170000</v>
      </c>
      <c r="H62" s="77">
        <v>0</v>
      </c>
      <c r="I62" s="77">
        <v>0</v>
      </c>
      <c r="J62" s="92">
        <f>SUM(K62:M62)</f>
        <v>0</v>
      </c>
      <c r="K62" s="77">
        <v>0</v>
      </c>
      <c r="L62" s="77">
        <v>0</v>
      </c>
      <c r="M62" s="344">
        <v>0</v>
      </c>
    </row>
    <row r="63" spans="1:13" ht="30">
      <c r="A63" s="349"/>
      <c r="B63" s="86">
        <v>75622</v>
      </c>
      <c r="C63" s="86"/>
      <c r="D63" s="84" t="s">
        <v>76</v>
      </c>
      <c r="E63" s="77">
        <f>G63+H63+I63</f>
        <v>3940000</v>
      </c>
      <c r="F63" s="92">
        <f t="shared" si="16"/>
        <v>3940000</v>
      </c>
      <c r="G63" s="77">
        <f>G64+G65</f>
        <v>3940000</v>
      </c>
      <c r="H63" s="72">
        <f>H64+H65</f>
        <v>0</v>
      </c>
      <c r="I63" s="72">
        <f>I64+I65</f>
        <v>0</v>
      </c>
      <c r="J63" s="73">
        <f t="shared" si="17"/>
        <v>0</v>
      </c>
      <c r="K63" s="72">
        <f>K64+K65</f>
        <v>0</v>
      </c>
      <c r="L63" s="72">
        <f>L64+L65</f>
        <v>0</v>
      </c>
      <c r="M63" s="342">
        <f>M64+M65</f>
        <v>0</v>
      </c>
    </row>
    <row r="64" spans="1:13" ht="15">
      <c r="A64" s="349"/>
      <c r="B64" s="86"/>
      <c r="C64" s="86" t="s">
        <v>77</v>
      </c>
      <c r="D64" s="88" t="s">
        <v>78</v>
      </c>
      <c r="E64" s="77">
        <f>G64</f>
        <v>3800000</v>
      </c>
      <c r="F64" s="73">
        <f t="shared" si="16"/>
        <v>3800000</v>
      </c>
      <c r="G64" s="77">
        <f>3793568+6432</f>
        <v>3800000</v>
      </c>
      <c r="H64" s="77">
        <v>0</v>
      </c>
      <c r="I64" s="77">
        <v>0</v>
      </c>
      <c r="J64" s="92">
        <f t="shared" si="17"/>
        <v>0</v>
      </c>
      <c r="K64" s="77">
        <v>0</v>
      </c>
      <c r="L64" s="77">
        <v>0</v>
      </c>
      <c r="M64" s="344">
        <v>0</v>
      </c>
    </row>
    <row r="65" spans="1:13" ht="15.75" thickBot="1">
      <c r="A65" s="350"/>
      <c r="B65" s="75"/>
      <c r="C65" s="75" t="s">
        <v>79</v>
      </c>
      <c r="D65" s="96" t="s">
        <v>80</v>
      </c>
      <c r="E65" s="90">
        <f>G65</f>
        <v>140000</v>
      </c>
      <c r="F65" s="91">
        <f t="shared" si="16"/>
        <v>140000</v>
      </c>
      <c r="G65" s="90">
        <v>140000</v>
      </c>
      <c r="H65" s="90">
        <v>0</v>
      </c>
      <c r="I65" s="90">
        <v>0</v>
      </c>
      <c r="J65" s="91">
        <f t="shared" si="17"/>
        <v>0</v>
      </c>
      <c r="K65" s="90">
        <v>0</v>
      </c>
      <c r="L65" s="90">
        <v>0</v>
      </c>
      <c r="M65" s="351">
        <v>0</v>
      </c>
    </row>
    <row r="66" spans="1:13" ht="18" thickBot="1" thickTop="1">
      <c r="A66" s="348">
        <v>758</v>
      </c>
      <c r="B66" s="85"/>
      <c r="C66" s="85"/>
      <c r="D66" s="80" t="s">
        <v>12</v>
      </c>
      <c r="E66" s="67">
        <f>SUM(E67+E69+E71)</f>
        <v>20208417</v>
      </c>
      <c r="F66" s="68">
        <f aca="true" t="shared" si="19" ref="F66:M66">SUM(F67+F69+F71)</f>
        <v>20208417</v>
      </c>
      <c r="G66" s="67">
        <f t="shared" si="19"/>
        <v>20208417</v>
      </c>
      <c r="H66" s="67">
        <f t="shared" si="19"/>
        <v>0</v>
      </c>
      <c r="I66" s="67">
        <f t="shared" si="19"/>
        <v>0</v>
      </c>
      <c r="J66" s="68">
        <f t="shared" si="19"/>
        <v>0</v>
      </c>
      <c r="K66" s="67">
        <f t="shared" si="19"/>
        <v>0</v>
      </c>
      <c r="L66" s="67">
        <f t="shared" si="19"/>
        <v>0</v>
      </c>
      <c r="M66" s="340">
        <f t="shared" si="19"/>
        <v>0</v>
      </c>
    </row>
    <row r="67" spans="1:13" ht="33.75" thickTop="1">
      <c r="A67" s="341"/>
      <c r="B67" s="69">
        <v>75801</v>
      </c>
      <c r="C67" s="69"/>
      <c r="D67" s="71" t="s">
        <v>248</v>
      </c>
      <c r="E67" s="72">
        <f aca="true" t="shared" si="20" ref="E67:E72">SUM(J67+F67)</f>
        <v>13227181</v>
      </c>
      <c r="F67" s="73">
        <f aca="true" t="shared" si="21" ref="F67:F72">SUM(G67:I67)</f>
        <v>13227181</v>
      </c>
      <c r="G67" s="72">
        <f>G68</f>
        <v>13227181</v>
      </c>
      <c r="H67" s="72">
        <f>H68</f>
        <v>0</v>
      </c>
      <c r="I67" s="72">
        <f>I68</f>
        <v>0</v>
      </c>
      <c r="J67" s="73">
        <f aca="true" t="shared" si="22" ref="J67:J72">SUM(K67:M67)</f>
        <v>0</v>
      </c>
      <c r="K67" s="72">
        <f>K68</f>
        <v>0</v>
      </c>
      <c r="L67" s="72">
        <f>L68</f>
        <v>0</v>
      </c>
      <c r="M67" s="342">
        <f>M68</f>
        <v>0</v>
      </c>
    </row>
    <row r="68" spans="1:13" ht="15">
      <c r="A68" s="349"/>
      <c r="B68" s="86"/>
      <c r="C68" s="86">
        <v>2920</v>
      </c>
      <c r="D68" s="88" t="s">
        <v>81</v>
      </c>
      <c r="E68" s="72">
        <f t="shared" si="20"/>
        <v>13227181</v>
      </c>
      <c r="F68" s="73">
        <f t="shared" si="21"/>
        <v>13227181</v>
      </c>
      <c r="G68" s="77">
        <v>13227181</v>
      </c>
      <c r="H68" s="77">
        <v>0</v>
      </c>
      <c r="I68" s="77">
        <v>0</v>
      </c>
      <c r="J68" s="73">
        <f t="shared" si="22"/>
        <v>0</v>
      </c>
      <c r="K68" s="77">
        <v>0</v>
      </c>
      <c r="L68" s="77">
        <v>0</v>
      </c>
      <c r="M68" s="344">
        <v>0</v>
      </c>
    </row>
    <row r="69" spans="1:13" ht="16.5">
      <c r="A69" s="349"/>
      <c r="B69" s="86">
        <v>75803</v>
      </c>
      <c r="C69" s="86"/>
      <c r="D69" s="84" t="s">
        <v>249</v>
      </c>
      <c r="E69" s="72">
        <f t="shared" si="20"/>
        <v>5156754</v>
      </c>
      <c r="F69" s="73">
        <f t="shared" si="21"/>
        <v>5156754</v>
      </c>
      <c r="G69" s="77">
        <f>G70</f>
        <v>5156754</v>
      </c>
      <c r="H69" s="77">
        <f>H70</f>
        <v>0</v>
      </c>
      <c r="I69" s="77">
        <f>I70</f>
        <v>0</v>
      </c>
      <c r="J69" s="73">
        <f t="shared" si="22"/>
        <v>0</v>
      </c>
      <c r="K69" s="77">
        <f>K70</f>
        <v>0</v>
      </c>
      <c r="L69" s="77">
        <f>L70</f>
        <v>0</v>
      </c>
      <c r="M69" s="344">
        <f>M70</f>
        <v>0</v>
      </c>
    </row>
    <row r="70" spans="1:13" ht="15">
      <c r="A70" s="349"/>
      <c r="B70" s="86"/>
      <c r="C70" s="86">
        <v>2920</v>
      </c>
      <c r="D70" s="88" t="s">
        <v>81</v>
      </c>
      <c r="E70" s="72">
        <f t="shared" si="20"/>
        <v>5156754</v>
      </c>
      <c r="F70" s="73">
        <f t="shared" si="21"/>
        <v>5156754</v>
      </c>
      <c r="G70" s="77">
        <v>5156754</v>
      </c>
      <c r="H70" s="77">
        <v>0</v>
      </c>
      <c r="I70" s="77">
        <v>0</v>
      </c>
      <c r="J70" s="73">
        <f t="shared" si="22"/>
        <v>0</v>
      </c>
      <c r="K70" s="77">
        <v>0</v>
      </c>
      <c r="L70" s="77">
        <v>0</v>
      </c>
      <c r="M70" s="344">
        <v>0</v>
      </c>
    </row>
    <row r="71" spans="1:13" ht="16.5">
      <c r="A71" s="343"/>
      <c r="B71" s="86">
        <v>75832</v>
      </c>
      <c r="C71" s="86"/>
      <c r="D71" s="84" t="s">
        <v>250</v>
      </c>
      <c r="E71" s="72">
        <f t="shared" si="20"/>
        <v>1824482</v>
      </c>
      <c r="F71" s="73">
        <f t="shared" si="21"/>
        <v>1824482</v>
      </c>
      <c r="G71" s="77">
        <f>G72</f>
        <v>1824482</v>
      </c>
      <c r="H71" s="77">
        <f>H72</f>
        <v>0</v>
      </c>
      <c r="I71" s="77">
        <f>I72</f>
        <v>0</v>
      </c>
      <c r="J71" s="73">
        <f t="shared" si="22"/>
        <v>0</v>
      </c>
      <c r="K71" s="77">
        <f>K72</f>
        <v>0</v>
      </c>
      <c r="L71" s="77">
        <f>L72</f>
        <v>0</v>
      </c>
      <c r="M71" s="344">
        <f>M72</f>
        <v>0</v>
      </c>
    </row>
    <row r="72" spans="1:13" ht="15.75" thickBot="1">
      <c r="A72" s="343"/>
      <c r="B72" s="86"/>
      <c r="C72" s="86">
        <v>2920</v>
      </c>
      <c r="D72" s="88" t="s">
        <v>81</v>
      </c>
      <c r="E72" s="72">
        <f t="shared" si="20"/>
        <v>1824482</v>
      </c>
      <c r="F72" s="73">
        <f t="shared" si="21"/>
        <v>1824482</v>
      </c>
      <c r="G72" s="77">
        <v>1824482</v>
      </c>
      <c r="H72" s="77">
        <v>0</v>
      </c>
      <c r="I72" s="77">
        <v>0</v>
      </c>
      <c r="J72" s="73">
        <f t="shared" si="22"/>
        <v>0</v>
      </c>
      <c r="K72" s="77">
        <v>0</v>
      </c>
      <c r="L72" s="77">
        <v>0</v>
      </c>
      <c r="M72" s="344">
        <v>0</v>
      </c>
    </row>
    <row r="73" spans="1:13" ht="18" thickBot="1" thickTop="1">
      <c r="A73" s="348">
        <v>801</v>
      </c>
      <c r="B73" s="85"/>
      <c r="C73" s="85"/>
      <c r="D73" s="80" t="s">
        <v>82</v>
      </c>
      <c r="E73" s="67">
        <f>SUM(E74+E76+E78+E81+E85+E87)</f>
        <v>624000</v>
      </c>
      <c r="F73" s="68">
        <f>SUM(F74+F76+F78+F81+F85+F87)</f>
        <v>624000</v>
      </c>
      <c r="G73" s="67">
        <f>SUM(G74+G76+G78+G81+G85+G87)</f>
        <v>624000</v>
      </c>
      <c r="H73" s="67">
        <f>SUM(H74+H76+H78+H81+H85+H87)</f>
        <v>0</v>
      </c>
      <c r="I73" s="67">
        <f>SUM(I74+I76+I78+I81+I85+I87)</f>
        <v>0</v>
      </c>
      <c r="J73" s="68">
        <f>SUM(J74+J76+J78+J81+J85)</f>
        <v>0</v>
      </c>
      <c r="K73" s="67">
        <f>SUM(K74+K76+K78+K81+K85)</f>
        <v>0</v>
      </c>
      <c r="L73" s="67">
        <f>SUM(L74+L76+L78+L81+L85)</f>
        <v>0</v>
      </c>
      <c r="M73" s="340">
        <f>SUM(M74+M76+M78+M81+M85)</f>
        <v>0</v>
      </c>
    </row>
    <row r="74" spans="1:13" ht="15.75" thickTop="1">
      <c r="A74" s="341"/>
      <c r="B74" s="69">
        <v>80102</v>
      </c>
      <c r="C74" s="69"/>
      <c r="D74" s="70" t="s">
        <v>83</v>
      </c>
      <c r="E74" s="77">
        <f>SUM(J74+F74)</f>
        <v>2500</v>
      </c>
      <c r="F74" s="92">
        <f>SUM(G74:I74)</f>
        <v>2500</v>
      </c>
      <c r="G74" s="72">
        <f>G75</f>
        <v>2500</v>
      </c>
      <c r="H74" s="72">
        <f>H75</f>
        <v>0</v>
      </c>
      <c r="I74" s="72">
        <f>I75</f>
        <v>0</v>
      </c>
      <c r="J74" s="73">
        <f>SUM(K74:M74)</f>
        <v>0</v>
      </c>
      <c r="K74" s="72">
        <f>K75</f>
        <v>0</v>
      </c>
      <c r="L74" s="72">
        <f>L75</f>
        <v>0</v>
      </c>
      <c r="M74" s="342">
        <f>M75</f>
        <v>0</v>
      </c>
    </row>
    <row r="75" spans="1:13" ht="60">
      <c r="A75" s="349"/>
      <c r="B75" s="86"/>
      <c r="C75" s="86" t="s">
        <v>64</v>
      </c>
      <c r="D75" s="84" t="s">
        <v>65</v>
      </c>
      <c r="E75" s="77">
        <f aca="true" t="shared" si="23" ref="E75:E86">SUM(J75+F75)</f>
        <v>2500</v>
      </c>
      <c r="F75" s="92">
        <f aca="true" t="shared" si="24" ref="F75:F86">SUM(G75:I75)</f>
        <v>2500</v>
      </c>
      <c r="G75" s="77">
        <v>2500</v>
      </c>
      <c r="H75" s="77">
        <v>0</v>
      </c>
      <c r="I75" s="77">
        <v>0</v>
      </c>
      <c r="J75" s="73">
        <f aca="true" t="shared" si="25" ref="J75:J86">SUM(K75:M75)</f>
        <v>0</v>
      </c>
      <c r="K75" s="77">
        <v>0</v>
      </c>
      <c r="L75" s="77">
        <v>0</v>
      </c>
      <c r="M75" s="344">
        <v>0</v>
      </c>
    </row>
    <row r="76" spans="1:13" ht="15">
      <c r="A76" s="349"/>
      <c r="B76" s="86">
        <v>80111</v>
      </c>
      <c r="C76" s="86"/>
      <c r="D76" s="88" t="s">
        <v>84</v>
      </c>
      <c r="E76" s="77">
        <f t="shared" si="23"/>
        <v>2500</v>
      </c>
      <c r="F76" s="92">
        <f t="shared" si="24"/>
        <v>2500</v>
      </c>
      <c r="G76" s="77">
        <f>G77</f>
        <v>2500</v>
      </c>
      <c r="H76" s="77">
        <f>H77</f>
        <v>0</v>
      </c>
      <c r="I76" s="77">
        <f>I77</f>
        <v>0</v>
      </c>
      <c r="J76" s="73">
        <f t="shared" si="25"/>
        <v>0</v>
      </c>
      <c r="K76" s="77">
        <f>K77</f>
        <v>0</v>
      </c>
      <c r="L76" s="77">
        <f>L77</f>
        <v>0</v>
      </c>
      <c r="M76" s="344">
        <f>M77</f>
        <v>0</v>
      </c>
    </row>
    <row r="77" spans="1:13" ht="60">
      <c r="A77" s="349"/>
      <c r="B77" s="86"/>
      <c r="C77" s="86" t="s">
        <v>64</v>
      </c>
      <c r="D77" s="84" t="s">
        <v>65</v>
      </c>
      <c r="E77" s="77">
        <f t="shared" si="23"/>
        <v>2500</v>
      </c>
      <c r="F77" s="92">
        <f t="shared" si="24"/>
        <v>2500</v>
      </c>
      <c r="G77" s="77">
        <v>2500</v>
      </c>
      <c r="H77" s="77">
        <v>0</v>
      </c>
      <c r="I77" s="77">
        <v>0</v>
      </c>
      <c r="J77" s="73">
        <f t="shared" si="25"/>
        <v>0</v>
      </c>
      <c r="K77" s="77">
        <v>0</v>
      </c>
      <c r="L77" s="77">
        <v>0</v>
      </c>
      <c r="M77" s="344">
        <v>0</v>
      </c>
    </row>
    <row r="78" spans="1:13" ht="15">
      <c r="A78" s="349"/>
      <c r="B78" s="86">
        <v>80120</v>
      </c>
      <c r="C78" s="86"/>
      <c r="D78" s="88" t="s">
        <v>85</v>
      </c>
      <c r="E78" s="77">
        <f t="shared" si="23"/>
        <v>50000</v>
      </c>
      <c r="F78" s="92">
        <f t="shared" si="24"/>
        <v>50000</v>
      </c>
      <c r="G78" s="77">
        <f>G79+G80</f>
        <v>50000</v>
      </c>
      <c r="H78" s="77">
        <f>H79+H80</f>
        <v>0</v>
      </c>
      <c r="I78" s="77">
        <f>I79+I80</f>
        <v>0</v>
      </c>
      <c r="J78" s="73">
        <f t="shared" si="25"/>
        <v>0</v>
      </c>
      <c r="K78" s="77">
        <f>K79+K80</f>
        <v>0</v>
      </c>
      <c r="L78" s="77">
        <f>L79+L80</f>
        <v>0</v>
      </c>
      <c r="M78" s="344">
        <f>M79+M80</f>
        <v>0</v>
      </c>
    </row>
    <row r="79" spans="1:13" ht="60">
      <c r="A79" s="349"/>
      <c r="B79" s="86"/>
      <c r="C79" s="86" t="s">
        <v>64</v>
      </c>
      <c r="D79" s="84" t="s">
        <v>86</v>
      </c>
      <c r="E79" s="77">
        <f t="shared" si="23"/>
        <v>39000</v>
      </c>
      <c r="F79" s="92">
        <f t="shared" si="24"/>
        <v>39000</v>
      </c>
      <c r="G79" s="77">
        <f>39000</f>
        <v>39000</v>
      </c>
      <c r="H79" s="77">
        <v>0</v>
      </c>
      <c r="I79" s="77">
        <v>0</v>
      </c>
      <c r="J79" s="73">
        <f t="shared" si="25"/>
        <v>0</v>
      </c>
      <c r="K79" s="77">
        <v>0</v>
      </c>
      <c r="L79" s="77">
        <v>0</v>
      </c>
      <c r="M79" s="344">
        <v>0</v>
      </c>
    </row>
    <row r="80" spans="1:13" ht="15">
      <c r="A80" s="349"/>
      <c r="B80" s="86"/>
      <c r="C80" s="86" t="s">
        <v>66</v>
      </c>
      <c r="D80" s="88" t="s">
        <v>67</v>
      </c>
      <c r="E80" s="77">
        <f t="shared" si="23"/>
        <v>11000</v>
      </c>
      <c r="F80" s="92">
        <f t="shared" si="24"/>
        <v>11000</v>
      </c>
      <c r="G80" s="77">
        <f>11000</f>
        <v>11000</v>
      </c>
      <c r="H80" s="77">
        <v>0</v>
      </c>
      <c r="I80" s="77">
        <v>0</v>
      </c>
      <c r="J80" s="92">
        <f t="shared" si="25"/>
        <v>0</v>
      </c>
      <c r="K80" s="77">
        <v>0</v>
      </c>
      <c r="L80" s="77">
        <v>0</v>
      </c>
      <c r="M80" s="344">
        <v>0</v>
      </c>
    </row>
    <row r="81" spans="1:13" ht="15">
      <c r="A81" s="349"/>
      <c r="B81" s="86">
        <v>80130</v>
      </c>
      <c r="C81" s="86"/>
      <c r="D81" s="88" t="s">
        <v>87</v>
      </c>
      <c r="E81" s="77">
        <f>SUM(J81+F81)</f>
        <v>87000</v>
      </c>
      <c r="F81" s="92">
        <f>SUM(G81:I81)</f>
        <v>87000</v>
      </c>
      <c r="G81" s="77">
        <f>G83+G84+G82</f>
        <v>87000</v>
      </c>
      <c r="H81" s="77">
        <f>H83+H84+H82</f>
        <v>0</v>
      </c>
      <c r="I81" s="77">
        <f>I83+I84+I82</f>
        <v>0</v>
      </c>
      <c r="J81" s="73">
        <f t="shared" si="25"/>
        <v>0</v>
      </c>
      <c r="K81" s="77">
        <f>K83+K84</f>
        <v>0</v>
      </c>
      <c r="L81" s="77">
        <f>L83+L84</f>
        <v>0</v>
      </c>
      <c r="M81" s="344">
        <f>M83+M84</f>
        <v>0</v>
      </c>
    </row>
    <row r="82" spans="1:13" ht="15">
      <c r="A82" s="349"/>
      <c r="B82" s="86"/>
      <c r="C82" s="83" t="s">
        <v>62</v>
      </c>
      <c r="D82" s="94" t="s">
        <v>63</v>
      </c>
      <c r="E82" s="77">
        <f>SUM(J82+F82)</f>
        <v>1000</v>
      </c>
      <c r="F82" s="92">
        <f>SUM(G82:I82)</f>
        <v>1000</v>
      </c>
      <c r="G82" s="77">
        <f>1000</f>
        <v>1000</v>
      </c>
      <c r="H82" s="77">
        <v>0</v>
      </c>
      <c r="I82" s="77">
        <v>0</v>
      </c>
      <c r="J82" s="73">
        <f>SUM(K82:M82)</f>
        <v>0</v>
      </c>
      <c r="K82" s="77">
        <v>0</v>
      </c>
      <c r="L82" s="77">
        <v>0</v>
      </c>
      <c r="M82" s="344">
        <v>0</v>
      </c>
    </row>
    <row r="83" spans="1:13" ht="60">
      <c r="A83" s="349"/>
      <c r="B83" s="86"/>
      <c r="C83" s="86" t="s">
        <v>64</v>
      </c>
      <c r="D83" s="84" t="s">
        <v>86</v>
      </c>
      <c r="E83" s="77">
        <f t="shared" si="23"/>
        <v>85000</v>
      </c>
      <c r="F83" s="92">
        <f t="shared" si="24"/>
        <v>85000</v>
      </c>
      <c r="G83" s="77">
        <f>85000</f>
        <v>85000</v>
      </c>
      <c r="H83" s="77">
        <v>0</v>
      </c>
      <c r="I83" s="77">
        <v>0</v>
      </c>
      <c r="J83" s="92">
        <f t="shared" si="25"/>
        <v>0</v>
      </c>
      <c r="K83" s="77">
        <v>0</v>
      </c>
      <c r="L83" s="77">
        <v>0</v>
      </c>
      <c r="M83" s="344">
        <v>0</v>
      </c>
    </row>
    <row r="84" spans="1:13" ht="15">
      <c r="A84" s="349"/>
      <c r="B84" s="86"/>
      <c r="C84" s="86" t="s">
        <v>89</v>
      </c>
      <c r="D84" s="88" t="s">
        <v>90</v>
      </c>
      <c r="E84" s="77">
        <f t="shared" si="23"/>
        <v>1000</v>
      </c>
      <c r="F84" s="92">
        <f t="shared" si="24"/>
        <v>1000</v>
      </c>
      <c r="G84" s="77">
        <f>1000</f>
        <v>1000</v>
      </c>
      <c r="H84" s="77">
        <v>0</v>
      </c>
      <c r="I84" s="77">
        <v>0</v>
      </c>
      <c r="J84" s="73">
        <f t="shared" si="25"/>
        <v>0</v>
      </c>
      <c r="K84" s="77">
        <v>0</v>
      </c>
      <c r="L84" s="77">
        <v>0</v>
      </c>
      <c r="M84" s="344">
        <v>0</v>
      </c>
    </row>
    <row r="85" spans="1:13" ht="15">
      <c r="A85" s="349"/>
      <c r="B85" s="86">
        <v>80134</v>
      </c>
      <c r="C85" s="86"/>
      <c r="D85" s="88" t="s">
        <v>91</v>
      </c>
      <c r="E85" s="77">
        <f t="shared" si="23"/>
        <v>2000</v>
      </c>
      <c r="F85" s="92">
        <f t="shared" si="24"/>
        <v>2000</v>
      </c>
      <c r="G85" s="77">
        <f>G86</f>
        <v>2000</v>
      </c>
      <c r="H85" s="77">
        <v>0</v>
      </c>
      <c r="I85" s="77">
        <f>I86</f>
        <v>0</v>
      </c>
      <c r="J85" s="73">
        <f t="shared" si="25"/>
        <v>0</v>
      </c>
      <c r="K85" s="77">
        <f>K86</f>
        <v>0</v>
      </c>
      <c r="L85" s="77">
        <v>0</v>
      </c>
      <c r="M85" s="344">
        <f>M86</f>
        <v>0</v>
      </c>
    </row>
    <row r="86" spans="1:13" ht="67.5" customHeight="1">
      <c r="A86" s="349"/>
      <c r="B86" s="86"/>
      <c r="C86" s="86" t="s">
        <v>64</v>
      </c>
      <c r="D86" s="84" t="s">
        <v>86</v>
      </c>
      <c r="E86" s="77">
        <f t="shared" si="23"/>
        <v>2000</v>
      </c>
      <c r="F86" s="92">
        <f t="shared" si="24"/>
        <v>2000</v>
      </c>
      <c r="G86" s="77">
        <f>2000</f>
        <v>2000</v>
      </c>
      <c r="H86" s="77">
        <v>0</v>
      </c>
      <c r="I86" s="77">
        <v>0</v>
      </c>
      <c r="J86" s="92">
        <f t="shared" si="25"/>
        <v>0</v>
      </c>
      <c r="K86" s="77">
        <v>0</v>
      </c>
      <c r="L86" s="77">
        <v>0</v>
      </c>
      <c r="M86" s="344">
        <v>0</v>
      </c>
    </row>
    <row r="87" spans="1:13" ht="15">
      <c r="A87" s="341"/>
      <c r="B87" s="69">
        <v>80144</v>
      </c>
      <c r="C87" s="69"/>
      <c r="D87" s="70" t="s">
        <v>185</v>
      </c>
      <c r="E87" s="72">
        <f>SUM(J87+F87)</f>
        <v>480000</v>
      </c>
      <c r="F87" s="73">
        <f>SUM(G87:I87)</f>
        <v>480000</v>
      </c>
      <c r="G87" s="72">
        <f>SUM(G88)</f>
        <v>480000</v>
      </c>
      <c r="H87" s="72">
        <f aca="true" t="shared" si="26" ref="H87:M87">SUM(H88)</f>
        <v>0</v>
      </c>
      <c r="I87" s="72">
        <f t="shared" si="26"/>
        <v>0</v>
      </c>
      <c r="J87" s="377">
        <f t="shared" si="26"/>
        <v>0</v>
      </c>
      <c r="K87" s="72">
        <f t="shared" si="26"/>
        <v>0</v>
      </c>
      <c r="L87" s="72">
        <f t="shared" si="26"/>
        <v>0</v>
      </c>
      <c r="M87" s="342">
        <f t="shared" si="26"/>
        <v>0</v>
      </c>
    </row>
    <row r="88" spans="1:13" ht="15.75" thickBot="1">
      <c r="A88" s="350"/>
      <c r="B88" s="75"/>
      <c r="C88" s="75" t="s">
        <v>66</v>
      </c>
      <c r="D88" s="96" t="s">
        <v>67</v>
      </c>
      <c r="E88" s="90">
        <f>SUM(J88+F88)</f>
        <v>480000</v>
      </c>
      <c r="F88" s="91">
        <f>SUM(G88:I88)</f>
        <v>480000</v>
      </c>
      <c r="G88" s="90">
        <f>480000</f>
        <v>480000</v>
      </c>
      <c r="H88" s="90">
        <v>0</v>
      </c>
      <c r="I88" s="90">
        <v>0</v>
      </c>
      <c r="J88" s="91">
        <f>SUM(K88:M88)</f>
        <v>0</v>
      </c>
      <c r="K88" s="90">
        <v>0</v>
      </c>
      <c r="L88" s="90">
        <v>0</v>
      </c>
      <c r="M88" s="351">
        <v>0</v>
      </c>
    </row>
    <row r="89" spans="1:13" ht="18" thickBot="1" thickTop="1">
      <c r="A89" s="339">
        <v>851</v>
      </c>
      <c r="B89" s="65"/>
      <c r="C89" s="65"/>
      <c r="D89" s="66" t="s">
        <v>13</v>
      </c>
      <c r="E89" s="97">
        <f>SUM(E90)</f>
        <v>1791000</v>
      </c>
      <c r="F89" s="98">
        <f aca="true" t="shared" si="27" ref="F89:M89">SUM(F90)</f>
        <v>1791000</v>
      </c>
      <c r="G89" s="97">
        <f t="shared" si="27"/>
        <v>0</v>
      </c>
      <c r="H89" s="97">
        <f t="shared" si="27"/>
        <v>1791000</v>
      </c>
      <c r="I89" s="97">
        <f t="shared" si="27"/>
        <v>0</v>
      </c>
      <c r="J89" s="98">
        <f t="shared" si="27"/>
        <v>0</v>
      </c>
      <c r="K89" s="97">
        <f t="shared" si="27"/>
        <v>0</v>
      </c>
      <c r="L89" s="97">
        <f t="shared" si="27"/>
        <v>0</v>
      </c>
      <c r="M89" s="353">
        <f t="shared" si="27"/>
        <v>0</v>
      </c>
    </row>
    <row r="90" spans="1:13" ht="51" customHeight="1" thickTop="1">
      <c r="A90" s="341"/>
      <c r="B90" s="69">
        <v>85156</v>
      </c>
      <c r="C90" s="69"/>
      <c r="D90" s="71" t="s">
        <v>92</v>
      </c>
      <c r="E90" s="77">
        <f>SUM(J90+F90)</f>
        <v>1791000</v>
      </c>
      <c r="F90" s="92">
        <f>SUM(G90:I90)</f>
        <v>1791000</v>
      </c>
      <c r="G90" s="72">
        <f>G91</f>
        <v>0</v>
      </c>
      <c r="H90" s="72">
        <f>H91</f>
        <v>1791000</v>
      </c>
      <c r="I90" s="72">
        <f>I91</f>
        <v>0</v>
      </c>
      <c r="J90" s="99">
        <f>SUM(K90:M90)</f>
        <v>0</v>
      </c>
      <c r="K90" s="72">
        <f>K91</f>
        <v>0</v>
      </c>
      <c r="L90" s="72">
        <f>L91</f>
        <v>0</v>
      </c>
      <c r="M90" s="342">
        <f>M91</f>
        <v>0</v>
      </c>
    </row>
    <row r="91" spans="1:13" ht="67.5" customHeight="1">
      <c r="A91" s="349"/>
      <c r="B91" s="86"/>
      <c r="C91" s="86">
        <v>2110</v>
      </c>
      <c r="D91" s="84" t="s">
        <v>93</v>
      </c>
      <c r="E91" s="77">
        <f>SUM(E92:E93)</f>
        <v>1791000</v>
      </c>
      <c r="F91" s="92">
        <f aca="true" t="shared" si="28" ref="F91:M91">SUM(F92:F93)</f>
        <v>1791000</v>
      </c>
      <c r="G91" s="77">
        <f t="shared" si="28"/>
        <v>0</v>
      </c>
      <c r="H91" s="77">
        <f t="shared" si="28"/>
        <v>1791000</v>
      </c>
      <c r="I91" s="100">
        <f t="shared" si="28"/>
        <v>0</v>
      </c>
      <c r="J91" s="99">
        <f t="shared" si="28"/>
        <v>0</v>
      </c>
      <c r="K91" s="100">
        <f t="shared" si="28"/>
        <v>0</v>
      </c>
      <c r="L91" s="100">
        <f t="shared" si="28"/>
        <v>0</v>
      </c>
      <c r="M91" s="354">
        <f t="shared" si="28"/>
        <v>0</v>
      </c>
    </row>
    <row r="92" spans="1:13" ht="16.5">
      <c r="A92" s="349"/>
      <c r="B92" s="86"/>
      <c r="C92" s="86"/>
      <c r="D92" s="88" t="s">
        <v>94</v>
      </c>
      <c r="E92" s="77">
        <f>SUM(J92+F92)</f>
        <v>1778000</v>
      </c>
      <c r="F92" s="92">
        <f>SUM(G92:I92)</f>
        <v>1778000</v>
      </c>
      <c r="G92" s="77">
        <v>0</v>
      </c>
      <c r="H92" s="77">
        <v>1778000</v>
      </c>
      <c r="I92" s="77">
        <v>0</v>
      </c>
      <c r="J92" s="99">
        <f>SUM(K92:M92)</f>
        <v>0</v>
      </c>
      <c r="K92" s="77">
        <v>0</v>
      </c>
      <c r="L92" s="77">
        <v>0</v>
      </c>
      <c r="M92" s="344">
        <v>0</v>
      </c>
    </row>
    <row r="93" spans="1:13" ht="17.25" thickBot="1">
      <c r="A93" s="343"/>
      <c r="B93" s="74"/>
      <c r="C93" s="74"/>
      <c r="D93" s="101" t="s">
        <v>95</v>
      </c>
      <c r="E93" s="93">
        <f>SUM(J93+F93)</f>
        <v>13000</v>
      </c>
      <c r="F93" s="102">
        <f>SUM(G93:I93)</f>
        <v>13000</v>
      </c>
      <c r="G93" s="87">
        <v>0</v>
      </c>
      <c r="H93" s="87">
        <v>13000</v>
      </c>
      <c r="I93" s="87">
        <v>0</v>
      </c>
      <c r="J93" s="103">
        <f>SUM(K93:M93)</f>
        <v>0</v>
      </c>
      <c r="K93" s="87">
        <v>0</v>
      </c>
      <c r="L93" s="87">
        <v>0</v>
      </c>
      <c r="M93" s="352">
        <v>0</v>
      </c>
    </row>
    <row r="94" spans="1:13" ht="18" thickBot="1" thickTop="1">
      <c r="A94" s="348">
        <v>852</v>
      </c>
      <c r="B94" s="85"/>
      <c r="C94" s="85"/>
      <c r="D94" s="80" t="s">
        <v>96</v>
      </c>
      <c r="E94" s="67">
        <f>SUM(E95+E100+E105+E103+E107)</f>
        <v>3713240</v>
      </c>
      <c r="F94" s="374">
        <f>SUM(F95+F100+F105+F103+F107)</f>
        <v>3713240</v>
      </c>
      <c r="G94" s="67">
        <f>SUM(G95+G100+G105+G103+G107)</f>
        <v>3706240</v>
      </c>
      <c r="H94" s="67">
        <f>SUM(H95+H100+H105+H103+H107)</f>
        <v>7000</v>
      </c>
      <c r="I94" s="67">
        <f>SUM(I95+I100+I105+I103+I107)</f>
        <v>0</v>
      </c>
      <c r="J94" s="68">
        <f>SUM(J95+J100+J105)</f>
        <v>0</v>
      </c>
      <c r="K94" s="67">
        <f>SUM(K95+K100+K105)</f>
        <v>0</v>
      </c>
      <c r="L94" s="67">
        <f>SUM(L95+L100+L105)</f>
        <v>0</v>
      </c>
      <c r="M94" s="340">
        <f>SUM(M95+M100+M105)</f>
        <v>0</v>
      </c>
    </row>
    <row r="95" spans="1:13" ht="15.75" thickTop="1">
      <c r="A95" s="341"/>
      <c r="B95" s="69">
        <v>85201</v>
      </c>
      <c r="C95" s="69"/>
      <c r="D95" s="70" t="s">
        <v>97</v>
      </c>
      <c r="E95" s="77">
        <f aca="true" t="shared" si="29" ref="E95:E102">SUM(J95+F95)</f>
        <v>846000</v>
      </c>
      <c r="F95" s="73">
        <f aca="true" t="shared" si="30" ref="F95:F118">SUM(G95:I95)</f>
        <v>846000</v>
      </c>
      <c r="G95" s="72">
        <f>SUM(G96:G99)</f>
        <v>846000</v>
      </c>
      <c r="H95" s="72">
        <f>SUM(H96:H99)</f>
        <v>0</v>
      </c>
      <c r="I95" s="72">
        <f>SUM(I96:I99)</f>
        <v>0</v>
      </c>
      <c r="J95" s="73">
        <f aca="true" t="shared" si="31" ref="J95:J106">SUM(K95:M95)</f>
        <v>0</v>
      </c>
      <c r="K95" s="72">
        <f>SUM(K96:K99)</f>
        <v>0</v>
      </c>
      <c r="L95" s="72">
        <f>SUM(L96:L99)</f>
        <v>0</v>
      </c>
      <c r="M95" s="342">
        <f>SUM(M96:M99)</f>
        <v>0</v>
      </c>
    </row>
    <row r="96" spans="1:13" ht="15">
      <c r="A96" s="349"/>
      <c r="B96" s="86"/>
      <c r="C96" s="86" t="s">
        <v>66</v>
      </c>
      <c r="D96" s="88" t="s">
        <v>88</v>
      </c>
      <c r="E96" s="77">
        <f t="shared" si="29"/>
        <v>200</v>
      </c>
      <c r="F96" s="73">
        <f t="shared" si="30"/>
        <v>200</v>
      </c>
      <c r="G96" s="77">
        <f>200</f>
        <v>200</v>
      </c>
      <c r="H96" s="77">
        <v>0</v>
      </c>
      <c r="I96" s="77">
        <v>0</v>
      </c>
      <c r="J96" s="73">
        <f t="shared" si="31"/>
        <v>0</v>
      </c>
      <c r="K96" s="77">
        <v>0</v>
      </c>
      <c r="L96" s="77">
        <v>0</v>
      </c>
      <c r="M96" s="344">
        <v>0</v>
      </c>
    </row>
    <row r="97" spans="1:13" ht="15">
      <c r="A97" s="349"/>
      <c r="B97" s="86"/>
      <c r="C97" s="83" t="s">
        <v>242</v>
      </c>
      <c r="D97" s="76" t="s">
        <v>278</v>
      </c>
      <c r="E97" s="77">
        <f t="shared" si="29"/>
        <v>2000</v>
      </c>
      <c r="F97" s="73">
        <f t="shared" si="30"/>
        <v>2000</v>
      </c>
      <c r="G97" s="77">
        <f>2000</f>
        <v>2000</v>
      </c>
      <c r="H97" s="77">
        <v>0</v>
      </c>
      <c r="I97" s="77">
        <v>0</v>
      </c>
      <c r="J97" s="73">
        <f t="shared" si="31"/>
        <v>0</v>
      </c>
      <c r="K97" s="77">
        <v>0</v>
      </c>
      <c r="L97" s="77">
        <v>0</v>
      </c>
      <c r="M97" s="344">
        <v>0</v>
      </c>
    </row>
    <row r="98" spans="1:13" ht="15">
      <c r="A98" s="349"/>
      <c r="B98" s="86"/>
      <c r="C98" s="86" t="s">
        <v>89</v>
      </c>
      <c r="D98" s="88" t="s">
        <v>90</v>
      </c>
      <c r="E98" s="77">
        <f t="shared" si="29"/>
        <v>300</v>
      </c>
      <c r="F98" s="92">
        <f>SUM(G98:I98)</f>
        <v>300</v>
      </c>
      <c r="G98" s="77">
        <f>300</f>
        <v>300</v>
      </c>
      <c r="H98" s="77">
        <v>0</v>
      </c>
      <c r="I98" s="77">
        <v>0</v>
      </c>
      <c r="J98" s="73">
        <f>SUM(K98:M98)</f>
        <v>0</v>
      </c>
      <c r="K98" s="77">
        <v>0</v>
      </c>
      <c r="L98" s="77">
        <v>0</v>
      </c>
      <c r="M98" s="344">
        <v>0</v>
      </c>
    </row>
    <row r="99" spans="1:13" ht="51.75" customHeight="1">
      <c r="A99" s="349"/>
      <c r="B99" s="86"/>
      <c r="C99" s="86">
        <v>2320</v>
      </c>
      <c r="D99" s="84" t="s">
        <v>99</v>
      </c>
      <c r="E99" s="77">
        <f t="shared" si="29"/>
        <v>843500</v>
      </c>
      <c r="F99" s="73">
        <f t="shared" si="30"/>
        <v>843500</v>
      </c>
      <c r="G99" s="77">
        <f>843500</f>
        <v>843500</v>
      </c>
      <c r="H99" s="77">
        <v>0</v>
      </c>
      <c r="I99" s="77">
        <v>0</v>
      </c>
      <c r="J99" s="73">
        <f t="shared" si="31"/>
        <v>0</v>
      </c>
      <c r="K99" s="77">
        <v>0</v>
      </c>
      <c r="L99" s="77">
        <v>0</v>
      </c>
      <c r="M99" s="344">
        <v>0</v>
      </c>
    </row>
    <row r="100" spans="1:13" ht="15">
      <c r="A100" s="349"/>
      <c r="B100" s="86">
        <v>85202</v>
      </c>
      <c r="C100" s="86"/>
      <c r="D100" s="88" t="s">
        <v>100</v>
      </c>
      <c r="E100" s="77">
        <f t="shared" si="29"/>
        <v>2659000</v>
      </c>
      <c r="F100" s="73">
        <f>SUM(G100:I100)</f>
        <v>2659000</v>
      </c>
      <c r="G100" s="77">
        <f>SUM(G101+G102)</f>
        <v>2659000</v>
      </c>
      <c r="H100" s="77">
        <f>SUM(H101+H102)</f>
        <v>0</v>
      </c>
      <c r="I100" s="77">
        <f>SUM(I101+I102)</f>
        <v>0</v>
      </c>
      <c r="J100" s="73">
        <f t="shared" si="31"/>
        <v>0</v>
      </c>
      <c r="K100" s="77">
        <f>SUM(K101:K102)</f>
        <v>0</v>
      </c>
      <c r="L100" s="77">
        <f>SUM(L101:L102)</f>
        <v>0</v>
      </c>
      <c r="M100" s="344">
        <f>SUM(M101:M102)</f>
        <v>0</v>
      </c>
    </row>
    <row r="101" spans="1:13" ht="15">
      <c r="A101" s="349"/>
      <c r="B101" s="86"/>
      <c r="C101" s="86" t="s">
        <v>66</v>
      </c>
      <c r="D101" s="88" t="s">
        <v>67</v>
      </c>
      <c r="E101" s="77">
        <f t="shared" si="29"/>
        <v>1850000</v>
      </c>
      <c r="F101" s="73">
        <f t="shared" si="30"/>
        <v>1850000</v>
      </c>
      <c r="G101" s="77">
        <f>1750000+100000</f>
        <v>1850000</v>
      </c>
      <c r="H101" s="77">
        <v>0</v>
      </c>
      <c r="I101" s="77">
        <v>0</v>
      </c>
      <c r="J101" s="73">
        <f t="shared" si="31"/>
        <v>0</v>
      </c>
      <c r="K101" s="77">
        <v>0</v>
      </c>
      <c r="L101" s="77">
        <v>0</v>
      </c>
      <c r="M101" s="344">
        <v>0</v>
      </c>
    </row>
    <row r="102" spans="1:13" ht="33.75" customHeight="1">
      <c r="A102" s="349"/>
      <c r="B102" s="86"/>
      <c r="C102" s="86">
        <v>2130</v>
      </c>
      <c r="D102" s="84" t="s">
        <v>101</v>
      </c>
      <c r="E102" s="77">
        <f t="shared" si="29"/>
        <v>809000</v>
      </c>
      <c r="F102" s="73">
        <f t="shared" si="30"/>
        <v>809000</v>
      </c>
      <c r="G102" s="77">
        <f>809000</f>
        <v>809000</v>
      </c>
      <c r="H102" s="77">
        <v>0</v>
      </c>
      <c r="I102" s="77">
        <v>0</v>
      </c>
      <c r="J102" s="73">
        <f t="shared" si="31"/>
        <v>0</v>
      </c>
      <c r="K102" s="77">
        <v>0</v>
      </c>
      <c r="L102" s="77">
        <v>0</v>
      </c>
      <c r="M102" s="344">
        <v>0</v>
      </c>
    </row>
    <row r="103" spans="1:13" ht="15">
      <c r="A103" s="349"/>
      <c r="B103" s="86">
        <v>85204</v>
      </c>
      <c r="C103" s="86"/>
      <c r="D103" s="88" t="s">
        <v>165</v>
      </c>
      <c r="E103" s="77">
        <f aca="true" t="shared" si="32" ref="E103:E108">SUM(J103+F103)</f>
        <v>195840</v>
      </c>
      <c r="F103" s="73">
        <f t="shared" si="30"/>
        <v>195840</v>
      </c>
      <c r="G103" s="77">
        <f>SUM(G104:G105)</f>
        <v>195840</v>
      </c>
      <c r="H103" s="77">
        <f>SUM(H104)</f>
        <v>0</v>
      </c>
      <c r="I103" s="77">
        <f>SUM(I104:I105)</f>
        <v>0</v>
      </c>
      <c r="J103" s="73">
        <f t="shared" si="31"/>
        <v>0</v>
      </c>
      <c r="K103" s="77">
        <f>SUM(K104:K105)</f>
        <v>0</v>
      </c>
      <c r="L103" s="77">
        <f>SUM(L104:L105)</f>
        <v>0</v>
      </c>
      <c r="M103" s="344">
        <f>SUM(M104:M105)</f>
        <v>0</v>
      </c>
    </row>
    <row r="104" spans="1:13" ht="52.5" customHeight="1">
      <c r="A104" s="349"/>
      <c r="B104" s="86"/>
      <c r="C104" s="86">
        <v>2320</v>
      </c>
      <c r="D104" s="84" t="s">
        <v>99</v>
      </c>
      <c r="E104" s="77">
        <f t="shared" si="32"/>
        <v>195840</v>
      </c>
      <c r="F104" s="73">
        <f t="shared" si="30"/>
        <v>195840</v>
      </c>
      <c r="G104" s="77">
        <f>195840</f>
        <v>195840</v>
      </c>
      <c r="H104" s="77">
        <v>0</v>
      </c>
      <c r="I104" s="77">
        <v>0</v>
      </c>
      <c r="J104" s="73">
        <f t="shared" si="31"/>
        <v>0</v>
      </c>
      <c r="K104" s="77">
        <v>0</v>
      </c>
      <c r="L104" s="77">
        <v>0</v>
      </c>
      <c r="M104" s="344">
        <v>0</v>
      </c>
    </row>
    <row r="105" spans="1:13" ht="30">
      <c r="A105" s="341"/>
      <c r="B105" s="69">
        <v>85205</v>
      </c>
      <c r="C105" s="69"/>
      <c r="D105" s="71" t="s">
        <v>271</v>
      </c>
      <c r="E105" s="72">
        <f t="shared" si="32"/>
        <v>7000</v>
      </c>
      <c r="F105" s="73">
        <f t="shared" si="30"/>
        <v>7000</v>
      </c>
      <c r="G105" s="72">
        <f>SUM(G106:G106)</f>
        <v>0</v>
      </c>
      <c r="H105" s="72">
        <f>SUM(H106:H106)</f>
        <v>7000</v>
      </c>
      <c r="I105" s="72">
        <f>SUM(I106:I106)</f>
        <v>0</v>
      </c>
      <c r="J105" s="73">
        <f t="shared" si="31"/>
        <v>0</v>
      </c>
      <c r="K105" s="72">
        <f>SUM(K106:K106)</f>
        <v>0</v>
      </c>
      <c r="L105" s="72">
        <f>SUM(L106:L106)</f>
        <v>0</v>
      </c>
      <c r="M105" s="342">
        <f>SUM(M106:M106)</f>
        <v>0</v>
      </c>
    </row>
    <row r="106" spans="1:13" ht="68.25" customHeight="1">
      <c r="A106" s="343"/>
      <c r="B106" s="74"/>
      <c r="C106" s="74">
        <v>2110</v>
      </c>
      <c r="D106" s="76" t="s">
        <v>46</v>
      </c>
      <c r="E106" s="87">
        <f t="shared" si="32"/>
        <v>7000</v>
      </c>
      <c r="F106" s="102">
        <f t="shared" si="30"/>
        <v>7000</v>
      </c>
      <c r="G106" s="87">
        <v>0</v>
      </c>
      <c r="H106" s="87">
        <f>7000</f>
        <v>7000</v>
      </c>
      <c r="I106" s="87">
        <v>0</v>
      </c>
      <c r="J106" s="102">
        <f t="shared" si="31"/>
        <v>0</v>
      </c>
      <c r="K106" s="87">
        <v>0</v>
      </c>
      <c r="L106" s="87">
        <v>0</v>
      </c>
      <c r="M106" s="352">
        <v>0</v>
      </c>
    </row>
    <row r="107" spans="1:13" ht="16.5" customHeight="1">
      <c r="A107" s="349"/>
      <c r="B107" s="86">
        <v>85220</v>
      </c>
      <c r="C107" s="86"/>
      <c r="D107" s="84" t="s">
        <v>268</v>
      </c>
      <c r="E107" s="77">
        <f t="shared" si="32"/>
        <v>5400</v>
      </c>
      <c r="F107" s="92">
        <f t="shared" si="30"/>
        <v>5400</v>
      </c>
      <c r="G107" s="77">
        <f>SUM(G108:G108)</f>
        <v>5400</v>
      </c>
      <c r="H107" s="77">
        <f>SUM(H108:H108)</f>
        <v>0</v>
      </c>
      <c r="I107" s="77">
        <f>SUM(I108:I108)</f>
        <v>0</v>
      </c>
      <c r="J107" s="92">
        <f>SUM(K107:M107)</f>
        <v>0</v>
      </c>
      <c r="K107" s="77">
        <f>SUM(K108:K108)</f>
        <v>0</v>
      </c>
      <c r="L107" s="77">
        <f>SUM(L108:L108)</f>
        <v>0</v>
      </c>
      <c r="M107" s="344">
        <f>SUM(M108:M108)</f>
        <v>0</v>
      </c>
    </row>
    <row r="108" spans="1:13" ht="70.5" customHeight="1" thickBot="1">
      <c r="A108" s="350"/>
      <c r="B108" s="75"/>
      <c r="C108" s="75" t="s">
        <v>64</v>
      </c>
      <c r="D108" s="89" t="s">
        <v>86</v>
      </c>
      <c r="E108" s="90">
        <f t="shared" si="32"/>
        <v>5400</v>
      </c>
      <c r="F108" s="91">
        <f t="shared" si="30"/>
        <v>5400</v>
      </c>
      <c r="G108" s="90">
        <f>5400</f>
        <v>5400</v>
      </c>
      <c r="H108" s="90">
        <v>0</v>
      </c>
      <c r="I108" s="90">
        <v>0</v>
      </c>
      <c r="J108" s="91">
        <f>SUM(K108:M108)</f>
        <v>0</v>
      </c>
      <c r="K108" s="90">
        <v>0</v>
      </c>
      <c r="L108" s="90">
        <v>0</v>
      </c>
      <c r="M108" s="351">
        <v>0</v>
      </c>
    </row>
    <row r="109" spans="1:13" ht="34.5" thickBot="1" thickTop="1">
      <c r="A109" s="348">
        <v>853</v>
      </c>
      <c r="B109" s="104"/>
      <c r="C109" s="104"/>
      <c r="D109" s="95" t="s">
        <v>18</v>
      </c>
      <c r="E109" s="67">
        <f aca="true" t="shared" si="33" ref="E109:E114">G109+H109+I109</f>
        <v>950338</v>
      </c>
      <c r="F109" s="68">
        <f t="shared" si="30"/>
        <v>950338</v>
      </c>
      <c r="G109" s="67">
        <f>G112+G114+G116+G118+G110</f>
        <v>889338</v>
      </c>
      <c r="H109" s="67">
        <f>H112+H114+H116+H118+H110</f>
        <v>61000</v>
      </c>
      <c r="I109" s="67">
        <f>I112+I114+I116+I118+I110</f>
        <v>0</v>
      </c>
      <c r="J109" s="68">
        <f>J112+J114+J116</f>
        <v>0</v>
      </c>
      <c r="K109" s="67">
        <f>K112</f>
        <v>0</v>
      </c>
      <c r="L109" s="67">
        <f>L112</f>
        <v>0</v>
      </c>
      <c r="M109" s="340">
        <f>M112</f>
        <v>0</v>
      </c>
    </row>
    <row r="110" spans="1:13" ht="30.75" thickTop="1">
      <c r="A110" s="372"/>
      <c r="B110" s="106">
        <v>85311</v>
      </c>
      <c r="C110" s="106"/>
      <c r="D110" s="168" t="s">
        <v>167</v>
      </c>
      <c r="E110" s="72">
        <f t="shared" si="33"/>
        <v>28000</v>
      </c>
      <c r="F110" s="73">
        <f t="shared" si="30"/>
        <v>28000</v>
      </c>
      <c r="G110" s="72">
        <f>SUM(G111)</f>
        <v>28000</v>
      </c>
      <c r="H110" s="72">
        <f>H111</f>
        <v>0</v>
      </c>
      <c r="I110" s="72">
        <f>I111</f>
        <v>0</v>
      </c>
      <c r="J110" s="73">
        <f aca="true" t="shared" si="34" ref="J110:J115">SUM(K110:M110)</f>
        <v>0</v>
      </c>
      <c r="K110" s="72">
        <v>0</v>
      </c>
      <c r="L110" s="72">
        <f>L111</f>
        <v>0</v>
      </c>
      <c r="M110" s="342">
        <f>M111</f>
        <v>0</v>
      </c>
    </row>
    <row r="111" spans="1:13" ht="55.5" customHeight="1">
      <c r="A111" s="373"/>
      <c r="B111" s="86"/>
      <c r="C111" s="86">
        <v>2310</v>
      </c>
      <c r="D111" s="84" t="s">
        <v>276</v>
      </c>
      <c r="E111" s="77">
        <f t="shared" si="33"/>
        <v>28000</v>
      </c>
      <c r="F111" s="92">
        <f t="shared" si="30"/>
        <v>28000</v>
      </c>
      <c r="G111" s="77">
        <v>28000</v>
      </c>
      <c r="H111" s="77">
        <v>0</v>
      </c>
      <c r="I111" s="77">
        <v>0</v>
      </c>
      <c r="J111" s="92">
        <f t="shared" si="34"/>
        <v>0</v>
      </c>
      <c r="K111" s="77">
        <v>0</v>
      </c>
      <c r="L111" s="77">
        <v>0</v>
      </c>
      <c r="M111" s="344">
        <v>0</v>
      </c>
    </row>
    <row r="112" spans="1:13" ht="15">
      <c r="A112" s="341"/>
      <c r="B112" s="69">
        <v>85321</v>
      </c>
      <c r="C112" s="69"/>
      <c r="D112" s="71" t="s">
        <v>102</v>
      </c>
      <c r="E112" s="72">
        <f t="shared" si="33"/>
        <v>61000</v>
      </c>
      <c r="F112" s="73">
        <f t="shared" si="30"/>
        <v>61000</v>
      </c>
      <c r="G112" s="72">
        <v>0</v>
      </c>
      <c r="H112" s="72">
        <f>H113</f>
        <v>61000</v>
      </c>
      <c r="I112" s="72">
        <f>I113</f>
        <v>0</v>
      </c>
      <c r="J112" s="73">
        <f t="shared" si="34"/>
        <v>0</v>
      </c>
      <c r="K112" s="72">
        <v>0</v>
      </c>
      <c r="L112" s="72">
        <f>L113</f>
        <v>0</v>
      </c>
      <c r="M112" s="342">
        <f>M113</f>
        <v>0</v>
      </c>
    </row>
    <row r="113" spans="1:13" ht="66.75" customHeight="1">
      <c r="A113" s="349"/>
      <c r="B113" s="86"/>
      <c r="C113" s="86">
        <v>2110</v>
      </c>
      <c r="D113" s="84" t="s">
        <v>46</v>
      </c>
      <c r="E113" s="77">
        <f t="shared" si="33"/>
        <v>61000</v>
      </c>
      <c r="F113" s="92">
        <f t="shared" si="30"/>
        <v>61000</v>
      </c>
      <c r="G113" s="77">
        <v>0</v>
      </c>
      <c r="H113" s="77">
        <f>61000</f>
        <v>61000</v>
      </c>
      <c r="I113" s="77">
        <v>0</v>
      </c>
      <c r="J113" s="92">
        <f t="shared" si="34"/>
        <v>0</v>
      </c>
      <c r="K113" s="77">
        <v>0</v>
      </c>
      <c r="L113" s="77">
        <v>0</v>
      </c>
      <c r="M113" s="344">
        <v>0</v>
      </c>
    </row>
    <row r="114" spans="1:13" ht="30">
      <c r="A114" s="341"/>
      <c r="B114" s="69">
        <v>85324</v>
      </c>
      <c r="C114" s="69"/>
      <c r="D114" s="71" t="s">
        <v>103</v>
      </c>
      <c r="E114" s="72">
        <f t="shared" si="33"/>
        <v>20000</v>
      </c>
      <c r="F114" s="73">
        <f t="shared" si="30"/>
        <v>20000</v>
      </c>
      <c r="G114" s="72">
        <f>SUM(G115)</f>
        <v>20000</v>
      </c>
      <c r="H114" s="72">
        <f>SUM(H115)</f>
        <v>0</v>
      </c>
      <c r="I114" s="72">
        <f>SUM(I115)</f>
        <v>0</v>
      </c>
      <c r="J114" s="73">
        <f t="shared" si="34"/>
        <v>0</v>
      </c>
      <c r="K114" s="72">
        <v>0</v>
      </c>
      <c r="L114" s="72">
        <f>L117</f>
        <v>0</v>
      </c>
      <c r="M114" s="342">
        <f>M117</f>
        <v>0</v>
      </c>
    </row>
    <row r="115" spans="1:13" ht="15">
      <c r="A115" s="349"/>
      <c r="B115" s="86"/>
      <c r="C115" s="86" t="s">
        <v>89</v>
      </c>
      <c r="D115" s="88" t="s">
        <v>98</v>
      </c>
      <c r="E115" s="72">
        <f>SUM(J115+F115)</f>
        <v>20000</v>
      </c>
      <c r="F115" s="73">
        <f t="shared" si="30"/>
        <v>20000</v>
      </c>
      <c r="G115" s="77">
        <v>20000</v>
      </c>
      <c r="H115" s="77">
        <v>0</v>
      </c>
      <c r="I115" s="77">
        <v>0</v>
      </c>
      <c r="J115" s="92">
        <f t="shared" si="34"/>
        <v>0</v>
      </c>
      <c r="K115" s="77">
        <v>0</v>
      </c>
      <c r="L115" s="77">
        <v>0</v>
      </c>
      <c r="M115" s="344">
        <v>0</v>
      </c>
    </row>
    <row r="116" spans="1:13" ht="15">
      <c r="A116" s="349"/>
      <c r="B116" s="86">
        <v>85333</v>
      </c>
      <c r="C116" s="86"/>
      <c r="D116" s="84" t="s">
        <v>104</v>
      </c>
      <c r="E116" s="77">
        <f>SUM(J116+F116)</f>
        <v>753900</v>
      </c>
      <c r="F116" s="92">
        <f t="shared" si="30"/>
        <v>753900</v>
      </c>
      <c r="G116" s="77">
        <f>SUM(G117)</f>
        <v>753900</v>
      </c>
      <c r="H116" s="77">
        <f>SUM(H117)</f>
        <v>0</v>
      </c>
      <c r="I116" s="77">
        <f>SUM(I117)</f>
        <v>0</v>
      </c>
      <c r="J116" s="92"/>
      <c r="K116" s="77"/>
      <c r="L116" s="77"/>
      <c r="M116" s="344"/>
    </row>
    <row r="117" spans="1:13" ht="60">
      <c r="A117" s="349"/>
      <c r="B117" s="86"/>
      <c r="C117" s="83" t="s">
        <v>105</v>
      </c>
      <c r="D117" s="84" t="s">
        <v>106</v>
      </c>
      <c r="E117" s="77">
        <f>G117+H117+I117</f>
        <v>753900</v>
      </c>
      <c r="F117" s="92">
        <f t="shared" si="30"/>
        <v>753900</v>
      </c>
      <c r="G117" s="77">
        <v>753900</v>
      </c>
      <c r="H117" s="77">
        <v>0</v>
      </c>
      <c r="I117" s="77">
        <v>0</v>
      </c>
      <c r="J117" s="92">
        <f>SUM(K117:M117)</f>
        <v>0</v>
      </c>
      <c r="K117" s="77">
        <v>0</v>
      </c>
      <c r="L117" s="77">
        <f>0</f>
        <v>0</v>
      </c>
      <c r="M117" s="344">
        <v>0</v>
      </c>
    </row>
    <row r="118" spans="1:13" ht="15">
      <c r="A118" s="341"/>
      <c r="B118" s="69">
        <v>85395</v>
      </c>
      <c r="C118" s="69"/>
      <c r="D118" s="71" t="s">
        <v>140</v>
      </c>
      <c r="E118" s="72">
        <f>SUM(J118+F118)</f>
        <v>87438</v>
      </c>
      <c r="F118" s="73">
        <f t="shared" si="30"/>
        <v>87438</v>
      </c>
      <c r="G118" s="72">
        <f>SUM(G119)</f>
        <v>87438</v>
      </c>
      <c r="H118" s="72">
        <f>SUM(H119)</f>
        <v>0</v>
      </c>
      <c r="I118" s="72">
        <f>SUM(I119)</f>
        <v>0</v>
      </c>
      <c r="J118" s="73"/>
      <c r="K118" s="72"/>
      <c r="L118" s="72"/>
      <c r="M118" s="342"/>
    </row>
    <row r="119" spans="1:13" ht="75">
      <c r="A119" s="341"/>
      <c r="B119" s="69"/>
      <c r="C119" s="105" t="s">
        <v>286</v>
      </c>
      <c r="D119" s="380" t="s">
        <v>285</v>
      </c>
      <c r="E119" s="77">
        <f>SUM(J119+F119)</f>
        <v>87438</v>
      </c>
      <c r="F119" s="73">
        <f>SUM(G119:I119)</f>
        <v>87438</v>
      </c>
      <c r="G119" s="72">
        <f>SUM(G120:G120)</f>
        <v>87438</v>
      </c>
      <c r="H119" s="72">
        <f>SUM(H120:H120)</f>
        <v>0</v>
      </c>
      <c r="I119" s="72">
        <f>SUM(I120:I120)</f>
        <v>0</v>
      </c>
      <c r="J119" s="73">
        <f>SUM(K119:M119)</f>
        <v>0</v>
      </c>
      <c r="K119" s="72">
        <f>SUM(K120:K120)</f>
        <v>0</v>
      </c>
      <c r="L119" s="72">
        <f>SUM(L120:L120)</f>
        <v>0</v>
      </c>
      <c r="M119" s="342">
        <f>SUM(M120:M120)</f>
        <v>0</v>
      </c>
    </row>
    <row r="120" spans="1:13" ht="15.75" thickBot="1">
      <c r="A120" s="394"/>
      <c r="B120" s="387"/>
      <c r="C120" s="388"/>
      <c r="D120" s="389" t="s">
        <v>314</v>
      </c>
      <c r="E120" s="390">
        <f>SUM(J120+F120)</f>
        <v>87438</v>
      </c>
      <c r="F120" s="391">
        <f>SUM(G120:I120)</f>
        <v>87438</v>
      </c>
      <c r="G120" s="391">
        <f>87438</f>
        <v>87438</v>
      </c>
      <c r="H120" s="391">
        <v>0</v>
      </c>
      <c r="I120" s="391">
        <v>0</v>
      </c>
      <c r="J120" s="391"/>
      <c r="K120" s="391">
        <v>0</v>
      </c>
      <c r="L120" s="391">
        <v>0</v>
      </c>
      <c r="M120" s="392">
        <v>0</v>
      </c>
    </row>
    <row r="121" spans="1:13" ht="18" thickBot="1" thickTop="1">
      <c r="A121" s="348">
        <v>854</v>
      </c>
      <c r="B121" s="85"/>
      <c r="C121" s="85"/>
      <c r="D121" s="80" t="s">
        <v>14</v>
      </c>
      <c r="E121" s="67">
        <f>SUM(E122+E128)</f>
        <v>322000</v>
      </c>
      <c r="F121" s="68">
        <f aca="true" t="shared" si="35" ref="F121:M121">SUM(F122+F128)</f>
        <v>322000</v>
      </c>
      <c r="G121" s="67">
        <f t="shared" si="35"/>
        <v>322000</v>
      </c>
      <c r="H121" s="67">
        <f t="shared" si="35"/>
        <v>0</v>
      </c>
      <c r="I121" s="67">
        <f t="shared" si="35"/>
        <v>0</v>
      </c>
      <c r="J121" s="68">
        <f t="shared" si="35"/>
        <v>0</v>
      </c>
      <c r="K121" s="67">
        <f t="shared" si="35"/>
        <v>0</v>
      </c>
      <c r="L121" s="67">
        <f t="shared" si="35"/>
        <v>0</v>
      </c>
      <c r="M121" s="340">
        <f t="shared" si="35"/>
        <v>0</v>
      </c>
    </row>
    <row r="122" spans="1:13" ht="15.75" thickTop="1">
      <c r="A122" s="355"/>
      <c r="B122" s="106">
        <v>85403</v>
      </c>
      <c r="C122" s="106"/>
      <c r="D122" s="107" t="s">
        <v>107</v>
      </c>
      <c r="E122" s="108">
        <f>SUM(J122+F122)</f>
        <v>122000</v>
      </c>
      <c r="F122" s="109">
        <f>SUM(G122:I122)</f>
        <v>122000</v>
      </c>
      <c r="G122" s="108">
        <f>G124+G125+G127+G126+G123</f>
        <v>122000</v>
      </c>
      <c r="H122" s="108">
        <f>H124+H125+H127+H126+H123</f>
        <v>0</v>
      </c>
      <c r="I122" s="108">
        <f>I124+I125+I127+I126+I123</f>
        <v>0</v>
      </c>
      <c r="J122" s="109">
        <f aca="true" t="shared" si="36" ref="J122:J128">SUM(K122:M122)</f>
        <v>0</v>
      </c>
      <c r="K122" s="108">
        <f>SUM(K123:K127)</f>
        <v>0</v>
      </c>
      <c r="L122" s="108">
        <f>SUM(L123:L127)</f>
        <v>0</v>
      </c>
      <c r="M122" s="356">
        <f>SUM(M123:M127)</f>
        <v>0</v>
      </c>
    </row>
    <row r="123" spans="1:13" ht="15">
      <c r="A123" s="341"/>
      <c r="B123" s="69"/>
      <c r="C123" s="81" t="s">
        <v>62</v>
      </c>
      <c r="D123" s="70" t="s">
        <v>269</v>
      </c>
      <c r="E123" s="72">
        <f aca="true" t="shared" si="37" ref="E123:E130">SUM(J123+F123)</f>
        <v>100</v>
      </c>
      <c r="F123" s="73">
        <f aca="true" t="shared" si="38" ref="F123:F130">SUM(G123:I123)</f>
        <v>100</v>
      </c>
      <c r="G123" s="72">
        <f>100</f>
        <v>100</v>
      </c>
      <c r="H123" s="72">
        <v>0</v>
      </c>
      <c r="I123" s="72">
        <v>0</v>
      </c>
      <c r="J123" s="73">
        <f t="shared" si="36"/>
        <v>0</v>
      </c>
      <c r="K123" s="72">
        <v>0</v>
      </c>
      <c r="L123" s="72">
        <v>0</v>
      </c>
      <c r="M123" s="342">
        <v>0</v>
      </c>
    </row>
    <row r="124" spans="1:13" ht="75">
      <c r="A124" s="349"/>
      <c r="B124" s="86"/>
      <c r="C124" s="86" t="s">
        <v>64</v>
      </c>
      <c r="D124" s="84" t="s">
        <v>86</v>
      </c>
      <c r="E124" s="72">
        <f t="shared" si="37"/>
        <v>1000</v>
      </c>
      <c r="F124" s="73">
        <f t="shared" si="38"/>
        <v>1000</v>
      </c>
      <c r="G124" s="77">
        <f>1000</f>
        <v>1000</v>
      </c>
      <c r="H124" s="77">
        <v>0</v>
      </c>
      <c r="I124" s="77">
        <v>0</v>
      </c>
      <c r="J124" s="73">
        <f t="shared" si="36"/>
        <v>0</v>
      </c>
      <c r="K124" s="77">
        <v>0</v>
      </c>
      <c r="L124" s="77">
        <v>0</v>
      </c>
      <c r="M124" s="344">
        <v>0</v>
      </c>
    </row>
    <row r="125" spans="1:13" ht="15">
      <c r="A125" s="349"/>
      <c r="B125" s="86"/>
      <c r="C125" s="86" t="s">
        <v>66</v>
      </c>
      <c r="D125" s="88" t="s">
        <v>67</v>
      </c>
      <c r="E125" s="72">
        <f t="shared" si="37"/>
        <v>120000</v>
      </c>
      <c r="F125" s="73">
        <f t="shared" si="38"/>
        <v>120000</v>
      </c>
      <c r="G125" s="77">
        <f>120000</f>
        <v>120000</v>
      </c>
      <c r="H125" s="77">
        <v>0</v>
      </c>
      <c r="I125" s="77">
        <v>0</v>
      </c>
      <c r="J125" s="73">
        <f t="shared" si="36"/>
        <v>0</v>
      </c>
      <c r="K125" s="77">
        <v>0</v>
      </c>
      <c r="L125" s="77">
        <v>0</v>
      </c>
      <c r="M125" s="344">
        <v>0</v>
      </c>
    </row>
    <row r="126" spans="1:13" ht="30">
      <c r="A126" s="349"/>
      <c r="B126" s="86"/>
      <c r="C126" s="83" t="s">
        <v>242</v>
      </c>
      <c r="D126" s="76" t="s">
        <v>278</v>
      </c>
      <c r="E126" s="72">
        <f t="shared" si="37"/>
        <v>500</v>
      </c>
      <c r="F126" s="73">
        <f t="shared" si="38"/>
        <v>500</v>
      </c>
      <c r="G126" s="77">
        <f>500</f>
        <v>500</v>
      </c>
      <c r="H126" s="77"/>
      <c r="I126" s="77"/>
      <c r="J126" s="73">
        <f t="shared" si="36"/>
        <v>0</v>
      </c>
      <c r="K126" s="77">
        <v>0</v>
      </c>
      <c r="L126" s="77"/>
      <c r="M126" s="344"/>
    </row>
    <row r="127" spans="1:13" ht="15">
      <c r="A127" s="349"/>
      <c r="B127" s="86"/>
      <c r="C127" s="86" t="s">
        <v>89</v>
      </c>
      <c r="D127" s="88" t="s">
        <v>98</v>
      </c>
      <c r="E127" s="72">
        <f t="shared" si="37"/>
        <v>400</v>
      </c>
      <c r="F127" s="73">
        <f t="shared" si="38"/>
        <v>400</v>
      </c>
      <c r="G127" s="77">
        <f>400</f>
        <v>400</v>
      </c>
      <c r="H127" s="77">
        <v>0</v>
      </c>
      <c r="I127" s="77">
        <v>0</v>
      </c>
      <c r="J127" s="73">
        <f t="shared" si="36"/>
        <v>0</v>
      </c>
      <c r="K127" s="77">
        <v>0</v>
      </c>
      <c r="L127" s="77">
        <v>0</v>
      </c>
      <c r="M127" s="344">
        <v>0</v>
      </c>
    </row>
    <row r="128" spans="1:13" ht="15">
      <c r="A128" s="349"/>
      <c r="B128" s="86">
        <v>85410</v>
      </c>
      <c r="C128" s="86"/>
      <c r="D128" s="88" t="s">
        <v>108</v>
      </c>
      <c r="E128" s="72">
        <f t="shared" si="37"/>
        <v>200000</v>
      </c>
      <c r="F128" s="73">
        <f t="shared" si="38"/>
        <v>200000</v>
      </c>
      <c r="G128" s="77">
        <f>G130+G129</f>
        <v>200000</v>
      </c>
      <c r="H128" s="77">
        <f>H130+H129</f>
        <v>0</v>
      </c>
      <c r="I128" s="77">
        <f>I130+I129</f>
        <v>0</v>
      </c>
      <c r="J128" s="92">
        <f t="shared" si="36"/>
        <v>0</v>
      </c>
      <c r="K128" s="77">
        <f>K130</f>
        <v>0</v>
      </c>
      <c r="L128" s="77">
        <f>L130</f>
        <v>0</v>
      </c>
      <c r="M128" s="344">
        <f>M130</f>
        <v>0</v>
      </c>
    </row>
    <row r="129" spans="1:13" ht="75">
      <c r="A129" s="349"/>
      <c r="B129" s="86"/>
      <c r="C129" s="86" t="s">
        <v>64</v>
      </c>
      <c r="D129" s="84" t="s">
        <v>86</v>
      </c>
      <c r="E129" s="72">
        <f>SUM(J129+F129)</f>
        <v>90000</v>
      </c>
      <c r="F129" s="73">
        <f>SUM(G129:I129)</f>
        <v>90000</v>
      </c>
      <c r="G129" s="77">
        <f>90000</f>
        <v>90000</v>
      </c>
      <c r="H129" s="77">
        <v>0</v>
      </c>
      <c r="I129" s="77">
        <v>0</v>
      </c>
      <c r="J129" s="92"/>
      <c r="K129" s="77">
        <v>0</v>
      </c>
      <c r="L129" s="77">
        <v>0</v>
      </c>
      <c r="M129" s="344">
        <v>0</v>
      </c>
    </row>
    <row r="130" spans="1:13" ht="17.25" thickBot="1">
      <c r="A130" s="349"/>
      <c r="B130" s="86"/>
      <c r="C130" s="86" t="s">
        <v>66</v>
      </c>
      <c r="D130" s="88" t="s">
        <v>251</v>
      </c>
      <c r="E130" s="72">
        <f t="shared" si="37"/>
        <v>110000</v>
      </c>
      <c r="F130" s="73">
        <f t="shared" si="38"/>
        <v>110000</v>
      </c>
      <c r="G130" s="77">
        <f>110000</f>
        <v>110000</v>
      </c>
      <c r="H130" s="77">
        <v>0</v>
      </c>
      <c r="I130" s="77">
        <v>0</v>
      </c>
      <c r="J130" s="92">
        <f>SUM(K130:M130)</f>
        <v>0</v>
      </c>
      <c r="K130" s="77">
        <v>0</v>
      </c>
      <c r="L130" s="77">
        <v>0</v>
      </c>
      <c r="M130" s="344">
        <v>0</v>
      </c>
    </row>
    <row r="131" spans="1:13" ht="18" thickBot="1" thickTop="1">
      <c r="A131" s="348">
        <v>900</v>
      </c>
      <c r="B131" s="85"/>
      <c r="C131" s="85"/>
      <c r="D131" s="80" t="s">
        <v>282</v>
      </c>
      <c r="E131" s="67">
        <f>SUM(E132+E138)</f>
        <v>79500</v>
      </c>
      <c r="F131" s="68">
        <f aca="true" t="shared" si="39" ref="F131:M131">SUM(F132+F138)</f>
        <v>79500</v>
      </c>
      <c r="G131" s="67">
        <f t="shared" si="39"/>
        <v>79500</v>
      </c>
      <c r="H131" s="67">
        <f t="shared" si="39"/>
        <v>0</v>
      </c>
      <c r="I131" s="67">
        <f t="shared" si="39"/>
        <v>0</v>
      </c>
      <c r="J131" s="68">
        <f t="shared" si="39"/>
        <v>0</v>
      </c>
      <c r="K131" s="67">
        <f t="shared" si="39"/>
        <v>0</v>
      </c>
      <c r="L131" s="67">
        <f t="shared" si="39"/>
        <v>0</v>
      </c>
      <c r="M131" s="340">
        <f t="shared" si="39"/>
        <v>0</v>
      </c>
    </row>
    <row r="132" spans="1:13" ht="34.5" customHeight="1" thickTop="1">
      <c r="A132" s="355"/>
      <c r="B132" s="106">
        <v>90019</v>
      </c>
      <c r="C132" s="106"/>
      <c r="D132" s="379" t="s">
        <v>283</v>
      </c>
      <c r="E132" s="108">
        <f>SUM(J132+F132)</f>
        <v>79500</v>
      </c>
      <c r="F132" s="109">
        <f>SUM(G132:I132)</f>
        <v>79500</v>
      </c>
      <c r="G132" s="108">
        <f>SUM(G133:G134)</f>
        <v>79500</v>
      </c>
      <c r="H132" s="108">
        <f>SUM(H133:H134)</f>
        <v>0</v>
      </c>
      <c r="I132" s="108">
        <f>SUM(I133:I134)</f>
        <v>0</v>
      </c>
      <c r="J132" s="109">
        <f>SUM(K132:M132)</f>
        <v>0</v>
      </c>
      <c r="K132" s="108">
        <f>SUM(K133:K134)</f>
        <v>0</v>
      </c>
      <c r="L132" s="108">
        <f>SUM(L133:L134)</f>
        <v>0</v>
      </c>
      <c r="M132" s="356">
        <f>SUM(M133:M134)</f>
        <v>0</v>
      </c>
    </row>
    <row r="133" spans="1:13" ht="15">
      <c r="A133" s="341"/>
      <c r="B133" s="69"/>
      <c r="C133" s="81" t="s">
        <v>62</v>
      </c>
      <c r="D133" s="70" t="s">
        <v>269</v>
      </c>
      <c r="E133" s="72">
        <f>SUM(J133+F133)</f>
        <v>78000</v>
      </c>
      <c r="F133" s="73">
        <f>SUM(G133:I133)</f>
        <v>78000</v>
      </c>
      <c r="G133" s="72">
        <f>78000</f>
        <v>78000</v>
      </c>
      <c r="H133" s="72">
        <v>0</v>
      </c>
      <c r="I133" s="72">
        <v>0</v>
      </c>
      <c r="J133" s="73">
        <f>SUM(K133:M133)</f>
        <v>0</v>
      </c>
      <c r="K133" s="72">
        <v>0</v>
      </c>
      <c r="L133" s="72">
        <v>0</v>
      </c>
      <c r="M133" s="342">
        <v>0</v>
      </c>
    </row>
    <row r="134" spans="1:13" ht="15.75" thickBot="1">
      <c r="A134" s="349"/>
      <c r="B134" s="86"/>
      <c r="C134" s="83" t="s">
        <v>68</v>
      </c>
      <c r="D134" s="84" t="s">
        <v>69</v>
      </c>
      <c r="E134" s="72">
        <f>SUM(J134+F134)</f>
        <v>1500</v>
      </c>
      <c r="F134" s="73">
        <f>SUM(G134:I134)</f>
        <v>1500</v>
      </c>
      <c r="G134" s="77">
        <f>1500</f>
        <v>1500</v>
      </c>
      <c r="H134" s="77">
        <v>0</v>
      </c>
      <c r="I134" s="77">
        <v>0</v>
      </c>
      <c r="J134" s="73">
        <f>SUM(K134:M134)</f>
        <v>0</v>
      </c>
      <c r="K134" s="77">
        <v>0</v>
      </c>
      <c r="L134" s="77">
        <v>0</v>
      </c>
      <c r="M134" s="344">
        <v>0</v>
      </c>
    </row>
    <row r="135" spans="1:13" ht="18" thickBot="1" thickTop="1">
      <c r="A135" s="510" t="s">
        <v>15</v>
      </c>
      <c r="B135" s="511"/>
      <c r="C135" s="511"/>
      <c r="D135" s="512"/>
      <c r="E135" s="357">
        <f aca="true" t="shared" si="40" ref="E135:M135">E15+E24+E28+E38+E55+E59+E66+E73+E89+E94+E109+E121+E18+E21+E131</f>
        <v>37378493</v>
      </c>
      <c r="F135" s="358">
        <f t="shared" si="40"/>
        <v>36908493</v>
      </c>
      <c r="G135" s="357">
        <f t="shared" si="40"/>
        <v>31624293</v>
      </c>
      <c r="H135" s="357">
        <f t="shared" si="40"/>
        <v>5283200</v>
      </c>
      <c r="I135" s="357">
        <f t="shared" si="40"/>
        <v>1000</v>
      </c>
      <c r="J135" s="358">
        <f t="shared" si="40"/>
        <v>470000</v>
      </c>
      <c r="K135" s="357">
        <f t="shared" si="40"/>
        <v>450000</v>
      </c>
      <c r="L135" s="357">
        <f t="shared" si="40"/>
        <v>20000</v>
      </c>
      <c r="M135" s="378">
        <f t="shared" si="40"/>
        <v>0</v>
      </c>
    </row>
    <row r="136" spans="1:10" ht="12.75">
      <c r="A136" s="17"/>
      <c r="B136" s="17"/>
      <c r="C136" s="17"/>
      <c r="D136" s="17"/>
      <c r="E136" s="17"/>
      <c r="F136" s="18"/>
      <c r="G136" s="19"/>
      <c r="H136" s="17"/>
      <c r="I136" s="17"/>
      <c r="J136" s="15"/>
    </row>
    <row r="137" spans="1:10" ht="12.75">
      <c r="A137" s="17"/>
      <c r="B137" s="17"/>
      <c r="C137" s="17"/>
      <c r="D137" s="17"/>
      <c r="E137" s="482">
        <f>SUM(F135+J135)</f>
        <v>37378493</v>
      </c>
      <c r="F137" s="20"/>
      <c r="G137" s="19"/>
      <c r="H137" s="19"/>
      <c r="I137" s="19"/>
      <c r="J137" s="15"/>
    </row>
  </sheetData>
  <sheetProtection/>
  <mergeCells count="15">
    <mergeCell ref="A11:A13"/>
    <mergeCell ref="B11:B13"/>
    <mergeCell ref="C11:C13"/>
    <mergeCell ref="D11:D13"/>
    <mergeCell ref="A135:D135"/>
    <mergeCell ref="A6:M6"/>
    <mergeCell ref="A7:M7"/>
    <mergeCell ref="A8:M8"/>
    <mergeCell ref="A9:M9"/>
    <mergeCell ref="E11:E13"/>
    <mergeCell ref="F11:M11"/>
    <mergeCell ref="F12:F13"/>
    <mergeCell ref="G12:I12"/>
    <mergeCell ref="J12:J13"/>
    <mergeCell ref="K12:M12"/>
  </mergeCells>
  <printOptions horizontalCentered="1"/>
  <pageMargins left="0.4724409448818898" right="0.2755905511811024" top="0.5511811023622047" bottom="0.7874015748031497" header="1.1023622047244095" footer="0.5118110236220472"/>
  <pageSetup horizontalDpi="600" verticalDpi="600" orientation="portrait" paperSize="9" scale="47" r:id="rId3"/>
  <rowBreaks count="3" manualBreakCount="3">
    <brk id="49" max="12" man="1"/>
    <brk id="83" max="12" man="1"/>
    <brk id="123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5.625" style="0" customWidth="1"/>
    <col min="3" max="3" width="96.25390625" style="0" bestFit="1" customWidth="1"/>
    <col min="4" max="4" width="14.875" style="0" customWidth="1"/>
    <col min="5" max="5" width="13.25390625" style="0" bestFit="1" customWidth="1"/>
  </cols>
  <sheetData>
    <row r="1" spans="1:5" ht="15">
      <c r="A1" s="110"/>
      <c r="B1" s="110"/>
      <c r="C1" s="110"/>
      <c r="D1" s="110" t="s">
        <v>109</v>
      </c>
      <c r="E1" s="110"/>
    </row>
    <row r="2" spans="1:5" ht="15">
      <c r="A2" s="110"/>
      <c r="B2" s="110"/>
      <c r="C2" s="110"/>
      <c r="D2" s="29" t="s">
        <v>326</v>
      </c>
      <c r="E2" s="110"/>
    </row>
    <row r="3" spans="1:5" ht="15">
      <c r="A3" s="110"/>
      <c r="B3" s="110"/>
      <c r="C3" s="110"/>
      <c r="D3" s="29" t="s">
        <v>21</v>
      </c>
      <c r="E3" s="110"/>
    </row>
    <row r="4" spans="1:5" ht="15">
      <c r="A4" s="110"/>
      <c r="B4" s="110"/>
      <c r="C4" s="110"/>
      <c r="D4" s="30" t="s">
        <v>327</v>
      </c>
      <c r="E4" s="110"/>
    </row>
    <row r="5" spans="1:5" ht="15">
      <c r="A5" s="110"/>
      <c r="B5" s="110"/>
      <c r="C5" s="110"/>
      <c r="D5" s="110"/>
      <c r="E5" s="110"/>
    </row>
    <row r="6" spans="1:5" ht="19.5">
      <c r="A6" s="513" t="s">
        <v>301</v>
      </c>
      <c r="B6" s="514"/>
      <c r="C6" s="514"/>
      <c r="D6" s="514"/>
      <c r="E6" s="514"/>
    </row>
    <row r="7" spans="1:5" ht="19.5">
      <c r="A7" s="515" t="s">
        <v>110</v>
      </c>
      <c r="B7" s="516"/>
      <c r="C7" s="516"/>
      <c r="D7" s="516"/>
      <c r="E7" s="516"/>
    </row>
    <row r="8" spans="1:5" ht="15.75" customHeight="1" thickBot="1">
      <c r="A8" s="21"/>
      <c r="B8" s="21"/>
      <c r="C8" s="21"/>
      <c r="D8" s="21"/>
      <c r="E8" s="22"/>
    </row>
    <row r="9" spans="1:5" ht="33.75" thickBot="1">
      <c r="A9" s="111" t="s">
        <v>273</v>
      </c>
      <c r="B9" s="112"/>
      <c r="C9" s="113" t="s">
        <v>111</v>
      </c>
      <c r="D9" s="141" t="s">
        <v>262</v>
      </c>
      <c r="E9" s="142" t="s">
        <v>263</v>
      </c>
    </row>
    <row r="10" spans="1:5" ht="18" thickBot="1" thickTop="1">
      <c r="A10" s="114" t="s">
        <v>112</v>
      </c>
      <c r="B10" s="115"/>
      <c r="C10" s="115" t="s">
        <v>113</v>
      </c>
      <c r="D10" s="116">
        <f>D11+D13+D14+D15</f>
        <v>6113200</v>
      </c>
      <c r="E10" s="117">
        <f>SUM(D10*100/D36/100)</f>
        <v>0.16354859464237897</v>
      </c>
    </row>
    <row r="11" spans="1:5" ht="32.25" thickTop="1">
      <c r="A11" s="118"/>
      <c r="B11" s="59">
        <v>1</v>
      </c>
      <c r="C11" s="119" t="s">
        <v>252</v>
      </c>
      <c r="D11" s="72">
        <v>5303200</v>
      </c>
      <c r="E11" s="120">
        <f>D11*100/D36/100</f>
        <v>0.14187837909891124</v>
      </c>
    </row>
    <row r="12" spans="1:5" ht="16.5">
      <c r="A12" s="466"/>
      <c r="B12" s="467"/>
      <c r="C12" s="469" t="s">
        <v>319</v>
      </c>
      <c r="D12" s="377">
        <v>20000</v>
      </c>
      <c r="E12" s="468">
        <f>D12*100/D36/100</f>
        <v>0.0005350670504559935</v>
      </c>
    </row>
    <row r="13" spans="1:5" ht="16.5">
      <c r="A13" s="121"/>
      <c r="B13" s="122">
        <v>2</v>
      </c>
      <c r="C13" s="123" t="s">
        <v>253</v>
      </c>
      <c r="D13" s="77">
        <v>809000</v>
      </c>
      <c r="E13" s="120">
        <f>D13*100/D36/100</f>
        <v>0.02164346219094494</v>
      </c>
    </row>
    <row r="14" spans="1:5" ht="32.25" thickBot="1">
      <c r="A14" s="124"/>
      <c r="B14" s="125">
        <v>3</v>
      </c>
      <c r="C14" s="126" t="s">
        <v>254</v>
      </c>
      <c r="D14" s="87">
        <v>1000</v>
      </c>
      <c r="E14" s="127">
        <f>D14*100/D36/100</f>
        <v>2.6753352522799674E-05</v>
      </c>
    </row>
    <row r="15" spans="1:5" ht="32.25" hidden="1" thickBot="1">
      <c r="A15" s="128"/>
      <c r="B15" s="129">
        <v>4</v>
      </c>
      <c r="C15" s="130" t="s">
        <v>255</v>
      </c>
      <c r="D15" s="90"/>
      <c r="E15" s="120">
        <f>D15*100/D36/100</f>
        <v>0</v>
      </c>
    </row>
    <row r="16" spans="1:5" ht="18" thickBot="1" thickTop="1">
      <c r="A16" s="114" t="s">
        <v>114</v>
      </c>
      <c r="B16" s="131"/>
      <c r="C16" s="115" t="s">
        <v>115</v>
      </c>
      <c r="D16" s="132">
        <f>D17+D18+D19</f>
        <v>20208417</v>
      </c>
      <c r="E16" s="117">
        <f>SUM(D16*100/D36/100)</f>
        <v>0.5406429039287378</v>
      </c>
    </row>
    <row r="17" spans="1:5" ht="15.75" thickTop="1">
      <c r="A17" s="118"/>
      <c r="B17" s="59">
        <v>1</v>
      </c>
      <c r="C17" s="133" t="s">
        <v>116</v>
      </c>
      <c r="D17" s="72">
        <v>13227181</v>
      </c>
      <c r="E17" s="120">
        <f>D17*100/D36/100</f>
        <v>0.35387143617587796</v>
      </c>
    </row>
    <row r="18" spans="1:5" ht="15">
      <c r="A18" s="121"/>
      <c r="B18" s="122">
        <v>2</v>
      </c>
      <c r="C18" s="123" t="s">
        <v>117</v>
      </c>
      <c r="D18" s="77">
        <v>5156754</v>
      </c>
      <c r="E18" s="134">
        <f>D18*100/D36/100</f>
        <v>0.13796045763535733</v>
      </c>
    </row>
    <row r="19" spans="1:5" ht="15.75" thickBot="1">
      <c r="A19" s="124"/>
      <c r="B19" s="125">
        <v>3</v>
      </c>
      <c r="C19" s="135" t="s">
        <v>118</v>
      </c>
      <c r="D19" s="87">
        <v>1824482</v>
      </c>
      <c r="E19" s="136">
        <f>D19*100/D36/100</f>
        <v>0.04881101011750259</v>
      </c>
    </row>
    <row r="20" spans="1:5" ht="18" thickBot="1" thickTop="1">
      <c r="A20" s="114" t="s">
        <v>119</v>
      </c>
      <c r="B20" s="131"/>
      <c r="C20" s="115" t="s">
        <v>320</v>
      </c>
      <c r="D20" s="132">
        <f>SUM(D21:D21)</f>
        <v>1039340</v>
      </c>
      <c r="E20" s="117">
        <f>SUM(D20*100/D36/100)</f>
        <v>0.027805829411046618</v>
      </c>
    </row>
    <row r="21" spans="1:5" ht="33" thickBot="1" thickTop="1">
      <c r="A21" s="124"/>
      <c r="B21" s="125">
        <v>1</v>
      </c>
      <c r="C21" s="138" t="s">
        <v>259</v>
      </c>
      <c r="D21" s="77">
        <v>1039340</v>
      </c>
      <c r="E21" s="136">
        <f>D21*100/D36/100</f>
        <v>0.027805829411046618</v>
      </c>
    </row>
    <row r="22" spans="1:5" ht="18" thickBot="1" thickTop="1">
      <c r="A22" s="114" t="s">
        <v>119</v>
      </c>
      <c r="B22" s="131"/>
      <c r="C22" s="115" t="s">
        <v>321</v>
      </c>
      <c r="D22" s="132">
        <f>SUM(D23)</f>
        <v>28000</v>
      </c>
      <c r="E22" s="117">
        <f>SUM(D22*100/D36/100)</f>
        <v>0.000749093870638391</v>
      </c>
    </row>
    <row r="23" spans="1:5" ht="33" thickBot="1" thickTop="1">
      <c r="A23" s="124"/>
      <c r="B23" s="125">
        <v>1</v>
      </c>
      <c r="C23" s="138" t="s">
        <v>277</v>
      </c>
      <c r="D23" s="72">
        <v>28000</v>
      </c>
      <c r="E23" s="136">
        <f>D23*100/D36/100</f>
        <v>0.000749093870638391</v>
      </c>
    </row>
    <row r="24" spans="1:5" ht="18" thickBot="1" thickTop="1">
      <c r="A24" s="114" t="s">
        <v>122</v>
      </c>
      <c r="B24" s="131"/>
      <c r="C24" s="115" t="s">
        <v>120</v>
      </c>
      <c r="D24" s="132">
        <f>SUM(D25:D28)</f>
        <v>955126</v>
      </c>
      <c r="E24" s="117">
        <f>SUM(D24*100/D36/100)</f>
        <v>0.025552822581691562</v>
      </c>
    </row>
    <row r="25" spans="1:5" ht="32.25" thickTop="1">
      <c r="A25" s="124"/>
      <c r="B25" s="125">
        <v>1</v>
      </c>
      <c r="C25" s="126" t="s">
        <v>256</v>
      </c>
      <c r="D25" s="87">
        <v>20000</v>
      </c>
      <c r="E25" s="136">
        <f>D25*100/D36/100</f>
        <v>0.0005350670504559935</v>
      </c>
    </row>
    <row r="26" spans="1:5" ht="33.75" customHeight="1">
      <c r="A26" s="124"/>
      <c r="B26" s="125">
        <v>2</v>
      </c>
      <c r="C26" s="126" t="s">
        <v>121</v>
      </c>
      <c r="D26" s="87">
        <v>753900</v>
      </c>
      <c r="E26" s="136">
        <f>D26*100/D36/100</f>
        <v>0.020169352466938677</v>
      </c>
    </row>
    <row r="27" spans="1:5" ht="45">
      <c r="A27" s="121"/>
      <c r="B27" s="122">
        <v>3</v>
      </c>
      <c r="C27" s="465" t="s">
        <v>285</v>
      </c>
      <c r="D27" s="77">
        <v>87438</v>
      </c>
      <c r="E27" s="134">
        <f>D27*100/D36/100</f>
        <v>0.002339259637888558</v>
      </c>
    </row>
    <row r="28" spans="1:5" ht="45.75" thickBot="1">
      <c r="A28" s="121"/>
      <c r="B28" s="122">
        <v>4</v>
      </c>
      <c r="C28" s="465" t="s">
        <v>311</v>
      </c>
      <c r="D28" s="77">
        <v>93788</v>
      </c>
      <c r="E28" s="134">
        <f>SUM(D28*100/D36/100)</f>
        <v>0.0025091434264083363</v>
      </c>
    </row>
    <row r="29" spans="1:5" ht="18" thickBot="1" thickTop="1">
      <c r="A29" s="114" t="s">
        <v>322</v>
      </c>
      <c r="B29" s="131"/>
      <c r="C29" s="115" t="s">
        <v>123</v>
      </c>
      <c r="D29" s="132">
        <f>SUM(D30:D34)</f>
        <v>9034410</v>
      </c>
      <c r="E29" s="117">
        <f>SUM(D29*100/D36/100)</f>
        <v>0.2417007555655066</v>
      </c>
    </row>
    <row r="30" spans="1:5" ht="32.25" thickTop="1">
      <c r="A30" s="137"/>
      <c r="B30" s="59">
        <v>1</v>
      </c>
      <c r="C30" s="119" t="s">
        <v>257</v>
      </c>
      <c r="D30" s="72">
        <f>3793568+6432</f>
        <v>3800000</v>
      </c>
      <c r="E30" s="120">
        <f>D30*100/D36/100</f>
        <v>0.10166273958663875</v>
      </c>
    </row>
    <row r="31" spans="1:5" ht="31.5">
      <c r="A31" s="137"/>
      <c r="B31" s="59">
        <v>2</v>
      </c>
      <c r="C31" s="119" t="s">
        <v>258</v>
      </c>
      <c r="D31" s="72">
        <v>140000</v>
      </c>
      <c r="E31" s="120">
        <f>D31*100/D36/100</f>
        <v>0.003745469353191955</v>
      </c>
    </row>
    <row r="32" spans="1:5" ht="16.5">
      <c r="A32" s="137"/>
      <c r="B32" s="122">
        <v>5</v>
      </c>
      <c r="C32" s="133" t="s">
        <v>260</v>
      </c>
      <c r="D32" s="72">
        <f>780000+80000</f>
        <v>860000</v>
      </c>
      <c r="E32" s="120">
        <f>D32*100/D36/100</f>
        <v>0.02300788316960772</v>
      </c>
    </row>
    <row r="33" spans="1:5" ht="16.5">
      <c r="A33" s="139"/>
      <c r="B33" s="122">
        <v>6</v>
      </c>
      <c r="C33" s="123" t="s">
        <v>261</v>
      </c>
      <c r="D33" s="140">
        <f>1750000+100000</f>
        <v>1850000</v>
      </c>
      <c r="E33" s="134">
        <f>D33*100/D36/100</f>
        <v>0.049493702167179396</v>
      </c>
    </row>
    <row r="34" spans="1:5" ht="15">
      <c r="A34" s="139"/>
      <c r="B34" s="122">
        <v>7</v>
      </c>
      <c r="C34" s="123" t="s">
        <v>124</v>
      </c>
      <c r="D34" s="140">
        <f>2332410+27000+25000</f>
        <v>2384410</v>
      </c>
      <c r="E34" s="134">
        <f>D34*100/D36/100</f>
        <v>0.06379096128888877</v>
      </c>
    </row>
    <row r="35" spans="1:5" ht="17.25" thickBot="1">
      <c r="A35" s="466"/>
      <c r="B35" s="467"/>
      <c r="C35" s="469" t="s">
        <v>319</v>
      </c>
      <c r="D35" s="377">
        <v>450000</v>
      </c>
      <c r="E35" s="468">
        <f>D35*100/D36/100</f>
        <v>0.012039008635259854</v>
      </c>
    </row>
    <row r="36" spans="1:5" ht="14.25" thickBot="1" thickTop="1">
      <c r="A36" s="517" t="s">
        <v>15</v>
      </c>
      <c r="B36" s="518"/>
      <c r="C36" s="518"/>
      <c r="D36" s="23">
        <f>D10+D16+D24+D29+D22+D20</f>
        <v>37378493</v>
      </c>
      <c r="E36" s="24">
        <f>E10+E16+E24+E29+E22+E20</f>
        <v>1</v>
      </c>
    </row>
    <row r="37" ht="13.5" thickTop="1"/>
  </sheetData>
  <sheetProtection/>
  <mergeCells count="3">
    <mergeCell ref="A6:E6"/>
    <mergeCell ref="A7:E7"/>
    <mergeCell ref="A36:C36"/>
  </mergeCells>
  <printOptions horizontalCentered="1"/>
  <pageMargins left="0.7874015748031497" right="0.7874015748031497" top="0.5511811023622047" bottom="0.7874015748031497" header="1.1023622047244095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1"/>
  <sheetViews>
    <sheetView workbookViewId="0" topLeftCell="A1">
      <selection activeCell="A6" sqref="A6:L6"/>
    </sheetView>
  </sheetViews>
  <sheetFormatPr defaultColWidth="9.00390625" defaultRowHeight="12.75"/>
  <cols>
    <col min="1" max="2" width="9.625" style="0" bestFit="1" customWidth="1"/>
    <col min="3" max="3" width="41.625" style="0" bestFit="1" customWidth="1"/>
    <col min="4" max="4" width="17.00390625" style="0" customWidth="1"/>
    <col min="5" max="5" width="13.125" style="0" bestFit="1" customWidth="1"/>
    <col min="6" max="6" width="13.25390625" style="0" customWidth="1"/>
    <col min="7" max="7" width="12.125" style="0" customWidth="1"/>
    <col min="8" max="8" width="11.875" style="0" bestFit="1" customWidth="1"/>
    <col min="9" max="9" width="11.875" style="0" customWidth="1"/>
    <col min="10" max="10" width="13.375" style="0" customWidth="1"/>
    <col min="11" max="11" width="12.00390625" style="0" customWidth="1"/>
    <col min="12" max="12" width="13.125" style="0" customWidth="1"/>
  </cols>
  <sheetData>
    <row r="1" spans="1:12" ht="15">
      <c r="A1" s="57"/>
      <c r="B1" s="57"/>
      <c r="C1" s="57"/>
      <c r="D1" s="57"/>
      <c r="E1" s="57"/>
      <c r="F1" s="57"/>
      <c r="G1" s="57"/>
      <c r="H1" s="57"/>
      <c r="I1" s="57"/>
      <c r="J1" s="57"/>
      <c r="K1" s="57" t="s">
        <v>125</v>
      </c>
      <c r="L1" s="57"/>
    </row>
    <row r="2" spans="1:12" ht="15">
      <c r="A2" s="57"/>
      <c r="B2" s="57"/>
      <c r="C2" s="57"/>
      <c r="D2" s="57"/>
      <c r="E2" s="57"/>
      <c r="F2" s="57"/>
      <c r="G2" s="57"/>
      <c r="H2" s="57"/>
      <c r="I2" s="57"/>
      <c r="J2" s="57"/>
      <c r="K2" s="29" t="s">
        <v>326</v>
      </c>
      <c r="L2" s="57"/>
    </row>
    <row r="3" spans="1:12" ht="15">
      <c r="A3" s="57"/>
      <c r="B3" s="57"/>
      <c r="C3" s="57"/>
      <c r="D3" s="57"/>
      <c r="E3" s="57"/>
      <c r="F3" s="57"/>
      <c r="G3" s="57"/>
      <c r="H3" s="57"/>
      <c r="I3" s="57"/>
      <c r="J3" s="57"/>
      <c r="K3" s="29" t="s">
        <v>21</v>
      </c>
      <c r="L3" s="57"/>
    </row>
    <row r="4" spans="1:12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30" t="s">
        <v>327</v>
      </c>
      <c r="L4" s="57"/>
    </row>
    <row r="5" spans="1:12" ht="18">
      <c r="A5" s="520" t="s">
        <v>126</v>
      </c>
      <c r="B5" s="521"/>
      <c r="C5" s="521"/>
      <c r="D5" s="521"/>
      <c r="E5" s="521"/>
      <c r="F5" s="521"/>
      <c r="G5" s="521"/>
      <c r="H5" s="521"/>
      <c r="I5" s="521"/>
      <c r="J5" s="521"/>
      <c r="K5" s="521"/>
      <c r="L5" s="521"/>
    </row>
    <row r="6" spans="1:12" ht="12.75" customHeight="1">
      <c r="A6" s="520" t="s">
        <v>302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.75" customHeight="1">
      <c r="A7" s="520" t="s">
        <v>29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1:12" ht="15.75" customHeight="1" thickBo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8" customHeight="1">
      <c r="A9" s="522" t="s">
        <v>0</v>
      </c>
      <c r="B9" s="524" t="s">
        <v>127</v>
      </c>
      <c r="C9" s="526" t="s">
        <v>35</v>
      </c>
      <c r="D9" s="532" t="s">
        <v>128</v>
      </c>
      <c r="E9" s="534" t="s">
        <v>129</v>
      </c>
      <c r="F9" s="535"/>
      <c r="G9" s="535"/>
      <c r="H9" s="535"/>
      <c r="I9" s="535"/>
      <c r="J9" s="535"/>
      <c r="K9" s="535"/>
      <c r="L9" s="536"/>
    </row>
    <row r="10" spans="1:12" ht="18.75" customHeight="1">
      <c r="A10" s="523"/>
      <c r="B10" s="525"/>
      <c r="C10" s="527"/>
      <c r="D10" s="533"/>
      <c r="E10" s="533" t="s">
        <v>296</v>
      </c>
      <c r="F10" s="533"/>
      <c r="G10" s="533"/>
      <c r="H10" s="533"/>
      <c r="I10" s="533"/>
      <c r="J10" s="533"/>
      <c r="K10" s="533"/>
      <c r="L10" s="537" t="s">
        <v>130</v>
      </c>
    </row>
    <row r="11" spans="1:12" ht="13.5" customHeight="1">
      <c r="A11" s="523"/>
      <c r="B11" s="525"/>
      <c r="C11" s="527"/>
      <c r="D11" s="533"/>
      <c r="E11" s="538" t="s">
        <v>15</v>
      </c>
      <c r="F11" s="528" t="s">
        <v>294</v>
      </c>
      <c r="G11" s="529"/>
      <c r="H11" s="530" t="s">
        <v>131</v>
      </c>
      <c r="I11" s="530" t="s">
        <v>293</v>
      </c>
      <c r="J11" s="540" t="s">
        <v>289</v>
      </c>
      <c r="K11" s="530" t="s">
        <v>132</v>
      </c>
      <c r="L11" s="537"/>
    </row>
    <row r="12" spans="1:12" ht="87" customHeight="1">
      <c r="A12" s="523"/>
      <c r="B12" s="525"/>
      <c r="C12" s="527"/>
      <c r="D12" s="533"/>
      <c r="E12" s="539"/>
      <c r="F12" s="143" t="s">
        <v>177</v>
      </c>
      <c r="G12" s="143" t="s">
        <v>295</v>
      </c>
      <c r="H12" s="531"/>
      <c r="I12" s="531"/>
      <c r="J12" s="541"/>
      <c r="K12" s="531"/>
      <c r="L12" s="537"/>
    </row>
    <row r="13" spans="1:12" ht="15" thickBot="1">
      <c r="A13" s="401">
        <v>1</v>
      </c>
      <c r="B13" s="144">
        <v>2</v>
      </c>
      <c r="C13" s="145">
        <v>3</v>
      </c>
      <c r="D13" s="145">
        <v>4</v>
      </c>
      <c r="E13" s="146">
        <v>5</v>
      </c>
      <c r="F13" s="145">
        <v>6</v>
      </c>
      <c r="G13" s="145">
        <v>7</v>
      </c>
      <c r="H13" s="145">
        <v>8</v>
      </c>
      <c r="I13" s="145">
        <v>9</v>
      </c>
      <c r="J13" s="145">
        <v>10</v>
      </c>
      <c r="K13" s="145">
        <v>11</v>
      </c>
      <c r="L13" s="402">
        <v>12</v>
      </c>
    </row>
    <row r="14" spans="1:12" ht="18" thickBot="1" thickTop="1">
      <c r="A14" s="403" t="s">
        <v>43</v>
      </c>
      <c r="B14" s="148"/>
      <c r="C14" s="148" t="s">
        <v>5</v>
      </c>
      <c r="D14" s="67">
        <f>E14+L14</f>
        <v>22000</v>
      </c>
      <c r="E14" s="68">
        <f>F14+G14+H14+K14+I14</f>
        <v>22000</v>
      </c>
      <c r="F14" s="67">
        <f aca="true" t="shared" si="0" ref="F14:K14">SUM(F15:F15)</f>
        <v>0</v>
      </c>
      <c r="G14" s="67">
        <f t="shared" si="0"/>
        <v>22000</v>
      </c>
      <c r="H14" s="67">
        <f t="shared" si="0"/>
        <v>0</v>
      </c>
      <c r="I14" s="67">
        <f t="shared" si="0"/>
        <v>0</v>
      </c>
      <c r="J14" s="67">
        <f t="shared" si="0"/>
        <v>0</v>
      </c>
      <c r="K14" s="67">
        <f t="shared" si="0"/>
        <v>0</v>
      </c>
      <c r="L14" s="404">
        <f>L15</f>
        <v>0</v>
      </c>
    </row>
    <row r="15" spans="1:12" ht="31.5" thickBot="1" thickTop="1">
      <c r="A15" s="405"/>
      <c r="B15" s="81" t="s">
        <v>133</v>
      </c>
      <c r="C15" s="150" t="s">
        <v>134</v>
      </c>
      <c r="D15" s="72">
        <f>E15</f>
        <v>22000</v>
      </c>
      <c r="E15" s="73">
        <f>SUM(F15:K15)</f>
        <v>22000</v>
      </c>
      <c r="F15" s="72">
        <v>0</v>
      </c>
      <c r="G15" s="72">
        <f>22000</f>
        <v>22000</v>
      </c>
      <c r="H15" s="72">
        <v>0</v>
      </c>
      <c r="I15" s="72">
        <v>0</v>
      </c>
      <c r="J15" s="72">
        <v>0</v>
      </c>
      <c r="K15" s="72">
        <v>0</v>
      </c>
      <c r="L15" s="406">
        <v>0</v>
      </c>
    </row>
    <row r="16" spans="1:12" ht="21" customHeight="1" thickBot="1" thickTop="1">
      <c r="A16" s="403" t="s">
        <v>135</v>
      </c>
      <c r="B16" s="147"/>
      <c r="C16" s="151" t="s">
        <v>6</v>
      </c>
      <c r="D16" s="67">
        <f>E16+L16</f>
        <v>20600</v>
      </c>
      <c r="E16" s="68">
        <f aca="true" t="shared" si="1" ref="E16:L16">SUM(E17:E17)</f>
        <v>20600</v>
      </c>
      <c r="F16" s="67">
        <f t="shared" si="1"/>
        <v>0</v>
      </c>
      <c r="G16" s="67">
        <f t="shared" si="1"/>
        <v>20600</v>
      </c>
      <c r="H16" s="67">
        <f t="shared" si="1"/>
        <v>0</v>
      </c>
      <c r="I16" s="67">
        <f t="shared" si="1"/>
        <v>0</v>
      </c>
      <c r="J16" s="67">
        <f t="shared" si="1"/>
        <v>0</v>
      </c>
      <c r="K16" s="67">
        <f t="shared" si="1"/>
        <v>0</v>
      </c>
      <c r="L16" s="404">
        <f t="shared" si="1"/>
        <v>0</v>
      </c>
    </row>
    <row r="17" spans="1:12" ht="18" thickBot="1" thickTop="1">
      <c r="A17" s="407"/>
      <c r="B17" s="81" t="s">
        <v>136</v>
      </c>
      <c r="C17" s="150" t="s">
        <v>137</v>
      </c>
      <c r="D17" s="72">
        <f>E17</f>
        <v>20600</v>
      </c>
      <c r="E17" s="73">
        <f>SUM(F17:K17)</f>
        <v>20600</v>
      </c>
      <c r="F17" s="72">
        <v>0</v>
      </c>
      <c r="G17" s="72">
        <f>20600</f>
        <v>20600</v>
      </c>
      <c r="H17" s="72">
        <v>0</v>
      </c>
      <c r="I17" s="72">
        <v>0</v>
      </c>
      <c r="J17" s="72">
        <v>0</v>
      </c>
      <c r="K17" s="72">
        <v>0</v>
      </c>
      <c r="L17" s="406">
        <v>0</v>
      </c>
    </row>
    <row r="18" spans="1:12" ht="18" thickBot="1" thickTop="1">
      <c r="A18" s="403">
        <v>600</v>
      </c>
      <c r="B18" s="147"/>
      <c r="C18" s="151" t="s">
        <v>7</v>
      </c>
      <c r="D18" s="333">
        <f>E18+L18</f>
        <v>2715100</v>
      </c>
      <c r="E18" s="334">
        <f>F18+G18+H18+K18+I18</f>
        <v>2015100</v>
      </c>
      <c r="F18" s="333">
        <f aca="true" t="shared" si="2" ref="F18:L18">SUM(F19:F19)</f>
        <v>600100</v>
      </c>
      <c r="G18" s="333">
        <f t="shared" si="2"/>
        <v>1400000</v>
      </c>
      <c r="H18" s="333">
        <f t="shared" si="2"/>
        <v>0</v>
      </c>
      <c r="I18" s="333">
        <f>SUM(I19:I19)</f>
        <v>15000</v>
      </c>
      <c r="J18" s="333">
        <f t="shared" si="2"/>
        <v>0</v>
      </c>
      <c r="K18" s="333">
        <f t="shared" si="2"/>
        <v>0</v>
      </c>
      <c r="L18" s="368">
        <f t="shared" si="2"/>
        <v>700000</v>
      </c>
    </row>
    <row r="19" spans="1:12" ht="16.5" thickBot="1" thickTop="1">
      <c r="A19" s="408"/>
      <c r="B19" s="172">
        <v>60014</v>
      </c>
      <c r="C19" s="371" t="s">
        <v>138</v>
      </c>
      <c r="D19" s="195">
        <f>E19+L19</f>
        <v>2715100</v>
      </c>
      <c r="E19" s="199">
        <f>SUM(F19:K19)</f>
        <v>2015100</v>
      </c>
      <c r="F19" s="195">
        <f>498000+99000+3100</f>
        <v>600100</v>
      </c>
      <c r="G19" s="195">
        <f>1400000</f>
        <v>1400000</v>
      </c>
      <c r="H19" s="195">
        <v>0</v>
      </c>
      <c r="I19" s="195">
        <f>15000</f>
        <v>15000</v>
      </c>
      <c r="J19" s="195">
        <v>0</v>
      </c>
      <c r="K19" s="195">
        <v>0</v>
      </c>
      <c r="L19" s="409">
        <f>700000</f>
        <v>700000</v>
      </c>
    </row>
    <row r="20" spans="1:12" ht="18" thickBot="1" thickTop="1">
      <c r="A20" s="410">
        <v>630</v>
      </c>
      <c r="B20" s="152"/>
      <c r="C20" s="153" t="s">
        <v>139</v>
      </c>
      <c r="D20" s="97">
        <f aca="true" t="shared" si="3" ref="D20:D48">E20+L20</f>
        <v>20000</v>
      </c>
      <c r="E20" s="98">
        <f>F20+G20+H20+K20+I20</f>
        <v>20000</v>
      </c>
      <c r="F20" s="97">
        <v>0</v>
      </c>
      <c r="G20" s="97">
        <f>G21</f>
        <v>20000</v>
      </c>
      <c r="H20" s="97">
        <v>0</v>
      </c>
      <c r="I20" s="97">
        <v>0</v>
      </c>
      <c r="J20" s="97">
        <v>0</v>
      </c>
      <c r="K20" s="97">
        <v>0</v>
      </c>
      <c r="L20" s="411">
        <v>0</v>
      </c>
    </row>
    <row r="21" spans="1:12" ht="16.5" thickBot="1" thickTop="1">
      <c r="A21" s="412"/>
      <c r="B21" s="154">
        <v>63095</v>
      </c>
      <c r="C21" s="155" t="s">
        <v>140</v>
      </c>
      <c r="D21" s="93">
        <f t="shared" si="3"/>
        <v>20000</v>
      </c>
      <c r="E21" s="156">
        <f>SUM(F21:K21)</f>
        <v>20000</v>
      </c>
      <c r="F21" s="93">
        <v>0</v>
      </c>
      <c r="G21" s="93">
        <f>20000</f>
        <v>20000</v>
      </c>
      <c r="H21" s="93">
        <v>0</v>
      </c>
      <c r="I21" s="93">
        <v>0</v>
      </c>
      <c r="J21" s="93">
        <v>0</v>
      </c>
      <c r="K21" s="93">
        <v>0</v>
      </c>
      <c r="L21" s="413">
        <v>0</v>
      </c>
    </row>
    <row r="22" spans="1:12" ht="18" thickBot="1" thickTop="1">
      <c r="A22" s="403">
        <v>700</v>
      </c>
      <c r="B22" s="147"/>
      <c r="C22" s="151" t="s">
        <v>8</v>
      </c>
      <c r="D22" s="67">
        <f t="shared" si="3"/>
        <v>41000</v>
      </c>
      <c r="E22" s="68">
        <f>F22+G22+H22+K22+I22</f>
        <v>41000</v>
      </c>
      <c r="F22" s="67">
        <v>0</v>
      </c>
      <c r="G22" s="67">
        <f>G23</f>
        <v>41000</v>
      </c>
      <c r="H22" s="67">
        <v>0</v>
      </c>
      <c r="I22" s="67">
        <v>0</v>
      </c>
      <c r="J22" s="67">
        <v>0</v>
      </c>
      <c r="K22" s="67">
        <v>0</v>
      </c>
      <c r="L22" s="404">
        <v>0</v>
      </c>
    </row>
    <row r="23" spans="1:12" ht="16.5" thickBot="1" thickTop="1">
      <c r="A23" s="412"/>
      <c r="B23" s="154">
        <v>70005</v>
      </c>
      <c r="C23" s="155" t="s">
        <v>49</v>
      </c>
      <c r="D23" s="93">
        <f t="shared" si="3"/>
        <v>41000</v>
      </c>
      <c r="E23" s="156">
        <f>SUM(F23:K23)</f>
        <v>41000</v>
      </c>
      <c r="F23" s="93">
        <v>0</v>
      </c>
      <c r="G23" s="93">
        <f>51000-10000</f>
        <v>41000</v>
      </c>
      <c r="H23" s="93">
        <v>0</v>
      </c>
      <c r="I23" s="93">
        <v>0</v>
      </c>
      <c r="J23" s="93">
        <v>0</v>
      </c>
      <c r="K23" s="93">
        <v>0</v>
      </c>
      <c r="L23" s="413">
        <v>0</v>
      </c>
    </row>
    <row r="24" spans="1:12" ht="18" thickBot="1" thickTop="1">
      <c r="A24" s="403">
        <v>710</v>
      </c>
      <c r="B24" s="147"/>
      <c r="C24" s="151" t="s">
        <v>9</v>
      </c>
      <c r="D24" s="67">
        <f>E24+L24</f>
        <v>832500</v>
      </c>
      <c r="E24" s="68">
        <f>F24+G24+H24+K24+I24</f>
        <v>807500</v>
      </c>
      <c r="F24" s="67">
        <f aca="true" t="shared" si="4" ref="F24:L24">F26+F27+F28+F29+F25</f>
        <v>636436</v>
      </c>
      <c r="G24" s="67">
        <f t="shared" si="4"/>
        <v>170464</v>
      </c>
      <c r="H24" s="67">
        <f t="shared" si="4"/>
        <v>0</v>
      </c>
      <c r="I24" s="67">
        <f>I26+I27+I28+I29+I25</f>
        <v>600</v>
      </c>
      <c r="J24" s="67">
        <f t="shared" si="4"/>
        <v>0</v>
      </c>
      <c r="K24" s="67">
        <f t="shared" si="4"/>
        <v>0</v>
      </c>
      <c r="L24" s="404">
        <f t="shared" si="4"/>
        <v>25000</v>
      </c>
    </row>
    <row r="25" spans="1:12" ht="30.75" thickTop="1">
      <c r="A25" s="405"/>
      <c r="B25" s="149">
        <v>71012</v>
      </c>
      <c r="C25" s="150" t="s">
        <v>141</v>
      </c>
      <c r="D25" s="72">
        <f t="shared" si="3"/>
        <v>450000</v>
      </c>
      <c r="E25" s="73">
        <f>SUM(F25:K25)</f>
        <v>445000</v>
      </c>
      <c r="F25" s="72">
        <f>352496+60620</f>
        <v>413116</v>
      </c>
      <c r="G25" s="72">
        <f>104284-73000</f>
        <v>31284</v>
      </c>
      <c r="H25" s="72">
        <v>0</v>
      </c>
      <c r="I25" s="72">
        <f>600</f>
        <v>600</v>
      </c>
      <c r="J25" s="72">
        <v>0</v>
      </c>
      <c r="K25" s="72">
        <v>0</v>
      </c>
      <c r="L25" s="406">
        <f>5000</f>
        <v>5000</v>
      </c>
    </row>
    <row r="26" spans="1:12" ht="30">
      <c r="A26" s="405"/>
      <c r="B26" s="149">
        <v>71013</v>
      </c>
      <c r="C26" s="150" t="s">
        <v>52</v>
      </c>
      <c r="D26" s="72">
        <f t="shared" si="3"/>
        <v>92000</v>
      </c>
      <c r="E26" s="73">
        <f>SUM(F26:K26)</f>
        <v>92000</v>
      </c>
      <c r="F26" s="72">
        <v>0</v>
      </c>
      <c r="G26" s="72">
        <f>92000</f>
        <v>92000</v>
      </c>
      <c r="H26" s="72">
        <v>0</v>
      </c>
      <c r="I26" s="72">
        <v>0</v>
      </c>
      <c r="J26" s="72">
        <v>0</v>
      </c>
      <c r="K26" s="72">
        <v>0</v>
      </c>
      <c r="L26" s="406">
        <v>0</v>
      </c>
    </row>
    <row r="27" spans="1:12" ht="15">
      <c r="A27" s="414"/>
      <c r="B27" s="157">
        <v>71014</v>
      </c>
      <c r="C27" s="158" t="s">
        <v>53</v>
      </c>
      <c r="D27" s="77">
        <f t="shared" si="3"/>
        <v>23000</v>
      </c>
      <c r="E27" s="73">
        <f>SUM(F27:K27)</f>
        <v>23000</v>
      </c>
      <c r="F27" s="77">
        <v>0</v>
      </c>
      <c r="G27" s="77">
        <f>23000</f>
        <v>23000</v>
      </c>
      <c r="H27" s="77">
        <v>0</v>
      </c>
      <c r="I27" s="77">
        <v>0</v>
      </c>
      <c r="J27" s="77">
        <v>0</v>
      </c>
      <c r="K27" s="77">
        <v>0</v>
      </c>
      <c r="L27" s="415">
        <v>0</v>
      </c>
    </row>
    <row r="28" spans="1:12" ht="15">
      <c r="A28" s="414"/>
      <c r="B28" s="157">
        <v>71015</v>
      </c>
      <c r="C28" s="158" t="s">
        <v>142</v>
      </c>
      <c r="D28" s="77">
        <f t="shared" si="3"/>
        <v>266000</v>
      </c>
      <c r="E28" s="73">
        <f>SUM(F28:K28)</f>
        <v>246000</v>
      </c>
      <c r="F28" s="77">
        <f>186168+37152</f>
        <v>223320</v>
      </c>
      <c r="G28" s="77">
        <f>20027+2653</f>
        <v>22680</v>
      </c>
      <c r="H28" s="77">
        <v>0</v>
      </c>
      <c r="I28" s="77">
        <v>0</v>
      </c>
      <c r="J28" s="77">
        <v>0</v>
      </c>
      <c r="K28" s="77">
        <v>0</v>
      </c>
      <c r="L28" s="415">
        <f>20000</f>
        <v>20000</v>
      </c>
    </row>
    <row r="29" spans="1:12" ht="15.75" thickBot="1">
      <c r="A29" s="414"/>
      <c r="B29" s="157">
        <v>71095</v>
      </c>
      <c r="C29" s="158" t="s">
        <v>140</v>
      </c>
      <c r="D29" s="77">
        <f t="shared" si="3"/>
        <v>1500</v>
      </c>
      <c r="E29" s="73">
        <f>SUM(F29:K29)</f>
        <v>1500</v>
      </c>
      <c r="F29" s="77">
        <v>0</v>
      </c>
      <c r="G29" s="77">
        <f>1500</f>
        <v>1500</v>
      </c>
      <c r="H29" s="77">
        <v>0</v>
      </c>
      <c r="I29" s="77">
        <v>0</v>
      </c>
      <c r="J29" s="77">
        <v>0</v>
      </c>
      <c r="K29" s="77">
        <v>0</v>
      </c>
      <c r="L29" s="415"/>
    </row>
    <row r="30" spans="1:12" ht="18" thickBot="1" thickTop="1">
      <c r="A30" s="403">
        <v>750</v>
      </c>
      <c r="B30" s="147"/>
      <c r="C30" s="151" t="s">
        <v>55</v>
      </c>
      <c r="D30" s="67">
        <f>E30+L30</f>
        <v>4887842</v>
      </c>
      <c r="E30" s="68">
        <f>F30+G30+H30+K30+I30+J30</f>
        <v>4837842</v>
      </c>
      <c r="F30" s="67">
        <f aca="true" t="shared" si="5" ref="F30:K30">F31+F34+F35+F36+F37+F39+F33</f>
        <v>3217054</v>
      </c>
      <c r="G30" s="67">
        <f t="shared" si="5"/>
        <v>1321500</v>
      </c>
      <c r="H30" s="67">
        <f t="shared" si="5"/>
        <v>20000</v>
      </c>
      <c r="I30" s="67">
        <f t="shared" si="5"/>
        <v>185500</v>
      </c>
      <c r="J30" s="67">
        <f t="shared" si="5"/>
        <v>93788</v>
      </c>
      <c r="K30" s="67">
        <f t="shared" si="5"/>
        <v>0</v>
      </c>
      <c r="L30" s="404">
        <f>L31+L34+L35+L36</f>
        <v>50000</v>
      </c>
    </row>
    <row r="31" spans="1:12" ht="15.75" thickTop="1">
      <c r="A31" s="405"/>
      <c r="B31" s="149">
        <v>75011</v>
      </c>
      <c r="C31" s="150" t="s">
        <v>56</v>
      </c>
      <c r="D31" s="72">
        <f t="shared" si="3"/>
        <v>103200</v>
      </c>
      <c r="E31" s="73">
        <f>SUM(F31:K31)</f>
        <v>103200</v>
      </c>
      <c r="F31" s="72">
        <f aca="true" t="shared" si="6" ref="F31:L31">F32</f>
        <v>103200</v>
      </c>
      <c r="G31" s="72">
        <f t="shared" si="6"/>
        <v>0</v>
      </c>
      <c r="H31" s="72">
        <f t="shared" si="6"/>
        <v>0</v>
      </c>
      <c r="I31" s="72">
        <f t="shared" si="6"/>
        <v>0</v>
      </c>
      <c r="J31" s="72">
        <f t="shared" si="6"/>
        <v>0</v>
      </c>
      <c r="K31" s="72">
        <f t="shared" si="6"/>
        <v>0</v>
      </c>
      <c r="L31" s="406">
        <f t="shared" si="6"/>
        <v>0</v>
      </c>
    </row>
    <row r="32" spans="1:12" ht="0.75" customHeight="1">
      <c r="A32" s="416"/>
      <c r="B32" s="159"/>
      <c r="C32" s="160" t="s">
        <v>143</v>
      </c>
      <c r="D32" s="161">
        <f t="shared" si="3"/>
        <v>103200</v>
      </c>
      <c r="E32" s="73">
        <f aca="true" t="shared" si="7" ref="E32:E39">SUM(F32:K32)</f>
        <v>103200</v>
      </c>
      <c r="F32" s="77">
        <f>103200</f>
        <v>103200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415">
        <v>0</v>
      </c>
    </row>
    <row r="33" spans="1:12" ht="15">
      <c r="A33" s="414"/>
      <c r="B33" s="157">
        <v>75018</v>
      </c>
      <c r="C33" s="158" t="s">
        <v>312</v>
      </c>
      <c r="D33" s="77">
        <f>E33+L33</f>
        <v>93788</v>
      </c>
      <c r="E33" s="92">
        <f>SUM(F33:K33)</f>
        <v>93788</v>
      </c>
      <c r="F33" s="77">
        <v>0</v>
      </c>
      <c r="G33" s="77"/>
      <c r="H33" s="77">
        <v>0</v>
      </c>
      <c r="I33" s="77"/>
      <c r="J33" s="77">
        <v>93788</v>
      </c>
      <c r="K33" s="77">
        <v>0</v>
      </c>
      <c r="L33" s="415">
        <v>0</v>
      </c>
    </row>
    <row r="34" spans="1:12" ht="15">
      <c r="A34" s="414"/>
      <c r="B34" s="157">
        <v>75019</v>
      </c>
      <c r="C34" s="158" t="s">
        <v>144</v>
      </c>
      <c r="D34" s="77">
        <f t="shared" si="3"/>
        <v>177000</v>
      </c>
      <c r="E34" s="73">
        <f t="shared" si="7"/>
        <v>177000</v>
      </c>
      <c r="F34" s="77">
        <v>0</v>
      </c>
      <c r="G34" s="77">
        <f>7000</f>
        <v>7000</v>
      </c>
      <c r="H34" s="77">
        <v>0</v>
      </c>
      <c r="I34" s="77">
        <f>170000</f>
        <v>170000</v>
      </c>
      <c r="J34" s="77">
        <v>0</v>
      </c>
      <c r="K34" s="77">
        <v>0</v>
      </c>
      <c r="L34" s="415">
        <v>0</v>
      </c>
    </row>
    <row r="35" spans="1:12" ht="15">
      <c r="A35" s="414"/>
      <c r="B35" s="157">
        <v>75020</v>
      </c>
      <c r="C35" s="158" t="s">
        <v>57</v>
      </c>
      <c r="D35" s="77">
        <f t="shared" si="3"/>
        <v>4428854</v>
      </c>
      <c r="E35" s="73">
        <f t="shared" si="7"/>
        <v>4378854</v>
      </c>
      <c r="F35" s="77">
        <f>2647260+464594</f>
        <v>3111854</v>
      </c>
      <c r="G35" s="77">
        <f>3000+1254500+4000</f>
        <v>1261500</v>
      </c>
      <c r="H35" s="77">
        <v>0</v>
      </c>
      <c r="I35" s="77">
        <f>5500</f>
        <v>5500</v>
      </c>
      <c r="J35" s="77">
        <v>0</v>
      </c>
      <c r="K35" s="77">
        <v>0</v>
      </c>
      <c r="L35" s="415">
        <f>50000</f>
        <v>50000</v>
      </c>
    </row>
    <row r="36" spans="1:12" ht="15">
      <c r="A36" s="417"/>
      <c r="B36" s="162">
        <v>75045</v>
      </c>
      <c r="C36" s="88" t="s">
        <v>272</v>
      </c>
      <c r="D36" s="87">
        <f t="shared" si="3"/>
        <v>25000</v>
      </c>
      <c r="E36" s="73">
        <f t="shared" si="7"/>
        <v>25000</v>
      </c>
      <c r="F36" s="87">
        <f>2000</f>
        <v>2000</v>
      </c>
      <c r="G36" s="87">
        <f>12000+1000</f>
        <v>13000</v>
      </c>
      <c r="H36" s="87">
        <v>0</v>
      </c>
      <c r="I36" s="87">
        <f>10000</f>
        <v>10000</v>
      </c>
      <c r="J36" s="87">
        <v>0</v>
      </c>
      <c r="K36" s="87">
        <v>0</v>
      </c>
      <c r="L36" s="418">
        <v>0</v>
      </c>
    </row>
    <row r="37" spans="1:12" ht="15">
      <c r="A37" s="414"/>
      <c r="B37" s="157">
        <v>75075</v>
      </c>
      <c r="C37" s="158" t="s">
        <v>145</v>
      </c>
      <c r="D37" s="87">
        <f t="shared" si="3"/>
        <v>40000</v>
      </c>
      <c r="E37" s="73">
        <f t="shared" si="7"/>
        <v>40000</v>
      </c>
      <c r="F37" s="77">
        <f aca="true" t="shared" si="8" ref="F37:L37">SUM(F38)</f>
        <v>0</v>
      </c>
      <c r="G37" s="77">
        <f t="shared" si="8"/>
        <v>40000</v>
      </c>
      <c r="H37" s="77">
        <f t="shared" si="8"/>
        <v>0</v>
      </c>
      <c r="I37" s="77">
        <f t="shared" si="8"/>
        <v>0</v>
      </c>
      <c r="J37" s="77">
        <f t="shared" si="8"/>
        <v>0</v>
      </c>
      <c r="K37" s="77">
        <f t="shared" si="8"/>
        <v>0</v>
      </c>
      <c r="L37" s="415">
        <f t="shared" si="8"/>
        <v>0</v>
      </c>
    </row>
    <row r="38" spans="1:12" ht="15" hidden="1">
      <c r="A38" s="419"/>
      <c r="B38" s="164"/>
      <c r="C38" s="165" t="s">
        <v>146</v>
      </c>
      <c r="D38" s="166">
        <f t="shared" si="3"/>
        <v>40000</v>
      </c>
      <c r="E38" s="73">
        <f t="shared" si="7"/>
        <v>40000</v>
      </c>
      <c r="F38" s="93">
        <v>0</v>
      </c>
      <c r="G38" s="93">
        <f>60000-20000</f>
        <v>40000</v>
      </c>
      <c r="H38" s="93">
        <v>0</v>
      </c>
      <c r="I38" s="93">
        <v>0</v>
      </c>
      <c r="J38" s="93">
        <v>0</v>
      </c>
      <c r="K38" s="93">
        <v>0</v>
      </c>
      <c r="L38" s="413">
        <v>0</v>
      </c>
    </row>
    <row r="39" spans="1:12" ht="15.75" thickBot="1">
      <c r="A39" s="414"/>
      <c r="B39" s="157">
        <v>75095</v>
      </c>
      <c r="C39" s="158" t="s">
        <v>270</v>
      </c>
      <c r="D39" s="87">
        <f>E39+L39</f>
        <v>20000</v>
      </c>
      <c r="E39" s="73">
        <f t="shared" si="7"/>
        <v>20000</v>
      </c>
      <c r="F39" s="77">
        <f>0</f>
        <v>0</v>
      </c>
      <c r="G39" s="77">
        <f>0</f>
        <v>0</v>
      </c>
      <c r="H39" s="77">
        <f>20000</f>
        <v>20000</v>
      </c>
      <c r="I39" s="77">
        <v>0</v>
      </c>
      <c r="J39" s="77">
        <f>SUM(J40)</f>
        <v>0</v>
      </c>
      <c r="K39" s="77">
        <f>SUM(K40)</f>
        <v>0</v>
      </c>
      <c r="L39" s="415">
        <f>SUM(L40)</f>
        <v>0</v>
      </c>
    </row>
    <row r="40" spans="1:12" ht="34.5" thickBot="1" thickTop="1">
      <c r="A40" s="403">
        <v>754</v>
      </c>
      <c r="B40" s="147"/>
      <c r="C40" s="151" t="s">
        <v>10</v>
      </c>
      <c r="D40" s="67">
        <f t="shared" si="3"/>
        <v>2973000</v>
      </c>
      <c r="E40" s="68">
        <f>F40+G40+H40+K40+I40</f>
        <v>2973000</v>
      </c>
      <c r="F40" s="67">
        <f aca="true" t="shared" si="9" ref="F40:L40">F41+F42</f>
        <v>2694200</v>
      </c>
      <c r="G40" s="67">
        <f t="shared" si="9"/>
        <v>103800</v>
      </c>
      <c r="H40" s="67">
        <f t="shared" si="9"/>
        <v>0</v>
      </c>
      <c r="I40" s="67">
        <f>I41+I42</f>
        <v>175000</v>
      </c>
      <c r="J40" s="67">
        <f t="shared" si="9"/>
        <v>0</v>
      </c>
      <c r="K40" s="67">
        <f t="shared" si="9"/>
        <v>0</v>
      </c>
      <c r="L40" s="404">
        <f t="shared" si="9"/>
        <v>0</v>
      </c>
    </row>
    <row r="41" spans="1:12" ht="30.75" thickTop="1">
      <c r="A41" s="405"/>
      <c r="B41" s="149">
        <v>75411</v>
      </c>
      <c r="C41" s="150" t="s">
        <v>147</v>
      </c>
      <c r="D41" s="72">
        <f t="shared" si="3"/>
        <v>2903000</v>
      </c>
      <c r="E41" s="73">
        <f>SUM(F41:K41)</f>
        <v>2903000</v>
      </c>
      <c r="F41" s="72">
        <f>2681500+12700</f>
        <v>2694200</v>
      </c>
      <c r="G41" s="72">
        <f>33800</f>
        <v>33800</v>
      </c>
      <c r="H41" s="72">
        <v>0</v>
      </c>
      <c r="I41" s="72">
        <f>175000</f>
        <v>175000</v>
      </c>
      <c r="J41" s="72">
        <v>0</v>
      </c>
      <c r="K41" s="72">
        <v>0</v>
      </c>
      <c r="L41" s="406">
        <v>0</v>
      </c>
    </row>
    <row r="42" spans="1:12" ht="15.75" thickBot="1">
      <c r="A42" s="417"/>
      <c r="B42" s="162">
        <v>75495</v>
      </c>
      <c r="C42" s="163" t="s">
        <v>140</v>
      </c>
      <c r="D42" s="87">
        <f t="shared" si="3"/>
        <v>70000</v>
      </c>
      <c r="E42" s="73">
        <f>SUM(F42:K42)</f>
        <v>70000</v>
      </c>
      <c r="F42" s="87">
        <v>0</v>
      </c>
      <c r="G42" s="87">
        <f>70000</f>
        <v>70000</v>
      </c>
      <c r="H42" s="87">
        <v>0</v>
      </c>
      <c r="I42" s="87">
        <v>0</v>
      </c>
      <c r="J42" s="87">
        <v>0</v>
      </c>
      <c r="K42" s="87">
        <v>0</v>
      </c>
      <c r="L42" s="418">
        <f>40000-40000</f>
        <v>0</v>
      </c>
    </row>
    <row r="43" spans="1:12" ht="18" thickBot="1" thickTop="1">
      <c r="A43" s="403">
        <v>757</v>
      </c>
      <c r="B43" s="147"/>
      <c r="C43" s="151" t="s">
        <v>11</v>
      </c>
      <c r="D43" s="67">
        <f t="shared" si="3"/>
        <v>1000000</v>
      </c>
      <c r="E43" s="68">
        <f>F43+G43+H43+K43+I43</f>
        <v>1000000</v>
      </c>
      <c r="F43" s="67">
        <f aca="true" t="shared" si="10" ref="F43:L43">F44</f>
        <v>0</v>
      </c>
      <c r="G43" s="67">
        <f t="shared" si="10"/>
        <v>0</v>
      </c>
      <c r="H43" s="67">
        <f t="shared" si="10"/>
        <v>0</v>
      </c>
      <c r="I43" s="67">
        <f t="shared" si="10"/>
        <v>0</v>
      </c>
      <c r="J43" s="67">
        <f t="shared" si="10"/>
        <v>0</v>
      </c>
      <c r="K43" s="67">
        <f t="shared" si="10"/>
        <v>1000000</v>
      </c>
      <c r="L43" s="404">
        <f t="shared" si="10"/>
        <v>0</v>
      </c>
    </row>
    <row r="44" spans="1:12" s="15" customFormat="1" ht="31.5" thickBot="1" thickTop="1">
      <c r="A44" s="420"/>
      <c r="B44" s="167">
        <v>75702</v>
      </c>
      <c r="C44" s="168" t="s">
        <v>245</v>
      </c>
      <c r="D44" s="108">
        <f t="shared" si="3"/>
        <v>1000000</v>
      </c>
      <c r="E44" s="109">
        <f>SUM(F44:K44)</f>
        <v>1000000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1000000</v>
      </c>
      <c r="L44" s="421">
        <v>0</v>
      </c>
    </row>
    <row r="45" spans="1:12" s="15" customFormat="1" ht="18" thickBot="1" thickTop="1">
      <c r="A45" s="403">
        <v>758</v>
      </c>
      <c r="B45" s="147"/>
      <c r="C45" s="151" t="s">
        <v>12</v>
      </c>
      <c r="D45" s="67">
        <f t="shared" si="3"/>
        <v>106384</v>
      </c>
      <c r="E45" s="68">
        <f>F45+G45+H45+K45+I45</f>
        <v>106384</v>
      </c>
      <c r="F45" s="67">
        <f aca="true" t="shared" si="11" ref="F45:L45">F46</f>
        <v>0</v>
      </c>
      <c r="G45" s="67">
        <f t="shared" si="11"/>
        <v>106384</v>
      </c>
      <c r="H45" s="67">
        <f t="shared" si="11"/>
        <v>0</v>
      </c>
      <c r="I45" s="67">
        <f t="shared" si="11"/>
        <v>0</v>
      </c>
      <c r="J45" s="67">
        <f t="shared" si="11"/>
        <v>0</v>
      </c>
      <c r="K45" s="67">
        <f t="shared" si="11"/>
        <v>0</v>
      </c>
      <c r="L45" s="404">
        <f t="shared" si="11"/>
        <v>0</v>
      </c>
    </row>
    <row r="46" spans="1:12" ht="15.75" thickTop="1">
      <c r="A46" s="412"/>
      <c r="B46" s="154">
        <v>75818</v>
      </c>
      <c r="C46" s="155" t="s">
        <v>148</v>
      </c>
      <c r="D46" s="108">
        <f>E46+L46</f>
        <v>106384</v>
      </c>
      <c r="E46" s="109">
        <f>SUM(F46:K46)</f>
        <v>106384</v>
      </c>
      <c r="F46" s="93">
        <f aca="true" t="shared" si="12" ref="F46:L46">F47+F48</f>
        <v>0</v>
      </c>
      <c r="G46" s="93">
        <f>G47+G48</f>
        <v>106384</v>
      </c>
      <c r="H46" s="93">
        <f t="shared" si="12"/>
        <v>0</v>
      </c>
      <c r="I46" s="93">
        <f>I47+I48</f>
        <v>0</v>
      </c>
      <c r="J46" s="93">
        <f>J47+J48</f>
        <v>0</v>
      </c>
      <c r="K46" s="93">
        <f t="shared" si="12"/>
        <v>0</v>
      </c>
      <c r="L46" s="413">
        <f t="shared" si="12"/>
        <v>0</v>
      </c>
    </row>
    <row r="47" spans="1:12" ht="15">
      <c r="A47" s="414"/>
      <c r="B47" s="157"/>
      <c r="C47" s="94" t="s">
        <v>238</v>
      </c>
      <c r="D47" s="72">
        <f t="shared" si="3"/>
        <v>36384</v>
      </c>
      <c r="E47" s="92">
        <f>SUM(F47:K47)</f>
        <v>36384</v>
      </c>
      <c r="F47" s="77">
        <v>0</v>
      </c>
      <c r="G47" s="77">
        <v>36384</v>
      </c>
      <c r="H47" s="77">
        <v>0</v>
      </c>
      <c r="I47" s="77">
        <v>0</v>
      </c>
      <c r="J47" s="77">
        <v>0</v>
      </c>
      <c r="K47" s="77">
        <v>0</v>
      </c>
      <c r="L47" s="415"/>
    </row>
    <row r="48" spans="1:12" ht="15">
      <c r="A48" s="412"/>
      <c r="B48" s="154"/>
      <c r="C48" s="169" t="s">
        <v>149</v>
      </c>
      <c r="D48" s="93">
        <f t="shared" si="3"/>
        <v>70000</v>
      </c>
      <c r="E48" s="92">
        <f>SUM(F48:K48)</f>
        <v>70000</v>
      </c>
      <c r="F48" s="93">
        <v>0</v>
      </c>
      <c r="G48" s="93">
        <v>70000</v>
      </c>
      <c r="H48" s="93">
        <f>SUM(H49:H49)</f>
        <v>0</v>
      </c>
      <c r="I48" s="93">
        <f>SUM(I49:I49)</f>
        <v>0</v>
      </c>
      <c r="J48" s="93">
        <f>SUM(J49:J49)</f>
        <v>0</v>
      </c>
      <c r="K48" s="93">
        <f>SUM(K49:K49)</f>
        <v>0</v>
      </c>
      <c r="L48" s="415">
        <v>0</v>
      </c>
    </row>
    <row r="49" spans="1:12" ht="15.75" thickBot="1">
      <c r="A49" s="414"/>
      <c r="B49" s="157"/>
      <c r="C49" s="170" t="s">
        <v>316</v>
      </c>
      <c r="D49" s="77">
        <f>E49</f>
        <v>70000</v>
      </c>
      <c r="E49" s="73">
        <f>SUM(F49:K49)</f>
        <v>70000</v>
      </c>
      <c r="F49" s="77">
        <v>0</v>
      </c>
      <c r="G49" s="77">
        <v>70000</v>
      </c>
      <c r="H49" s="77">
        <v>0</v>
      </c>
      <c r="I49" s="77">
        <v>0</v>
      </c>
      <c r="J49" s="77">
        <v>0</v>
      </c>
      <c r="K49" s="77">
        <v>0</v>
      </c>
      <c r="L49" s="415">
        <v>0</v>
      </c>
    </row>
    <row r="50" spans="1:12" ht="18" thickBot="1" thickTop="1">
      <c r="A50" s="403">
        <v>801</v>
      </c>
      <c r="B50" s="147"/>
      <c r="C50" s="151" t="s">
        <v>82</v>
      </c>
      <c r="D50" s="67">
        <f aca="true" t="shared" si="13" ref="D50:D86">E50+L50</f>
        <v>11107411</v>
      </c>
      <c r="E50" s="68">
        <f>F50+G50+H50+K50+I50</f>
        <v>11046011</v>
      </c>
      <c r="F50" s="67">
        <f aca="true" t="shared" si="14" ref="F50:L50">F51+F52+F53+F60+F63+F65+F68+F69</f>
        <v>7316558</v>
      </c>
      <c r="G50" s="67">
        <f t="shared" si="14"/>
        <v>1780591</v>
      </c>
      <c r="H50" s="67">
        <f t="shared" si="14"/>
        <v>1945362</v>
      </c>
      <c r="I50" s="67">
        <f t="shared" si="14"/>
        <v>3500</v>
      </c>
      <c r="J50" s="67">
        <f t="shared" si="14"/>
        <v>0</v>
      </c>
      <c r="K50" s="67">
        <f t="shared" si="14"/>
        <v>0</v>
      </c>
      <c r="L50" s="404">
        <f t="shared" si="14"/>
        <v>61400</v>
      </c>
    </row>
    <row r="51" spans="1:12" ht="15.75" thickTop="1">
      <c r="A51" s="405"/>
      <c r="B51" s="149">
        <v>80102</v>
      </c>
      <c r="C51" s="150" t="s">
        <v>83</v>
      </c>
      <c r="D51" s="72">
        <f t="shared" si="13"/>
        <v>213566</v>
      </c>
      <c r="E51" s="73">
        <f aca="true" t="shared" si="15" ref="E51:E58">SUM(F51:K51)</f>
        <v>213566</v>
      </c>
      <c r="F51" s="72">
        <f>160827+28493</f>
        <v>189320</v>
      </c>
      <c r="G51" s="72">
        <f>24246</f>
        <v>24246</v>
      </c>
      <c r="H51" s="72">
        <v>0</v>
      </c>
      <c r="I51" s="72">
        <v>0</v>
      </c>
      <c r="J51" s="72">
        <v>0</v>
      </c>
      <c r="K51" s="72">
        <v>0</v>
      </c>
      <c r="L51" s="406">
        <v>0</v>
      </c>
    </row>
    <row r="52" spans="1:12" ht="15">
      <c r="A52" s="414"/>
      <c r="B52" s="157">
        <v>80111</v>
      </c>
      <c r="C52" s="158" t="s">
        <v>84</v>
      </c>
      <c r="D52" s="77">
        <f t="shared" si="13"/>
        <v>587796</v>
      </c>
      <c r="E52" s="73">
        <f t="shared" si="15"/>
        <v>587796</v>
      </c>
      <c r="F52" s="77">
        <f>466151+83194</f>
        <v>549345</v>
      </c>
      <c r="G52" s="77">
        <f>38451</f>
        <v>38451</v>
      </c>
      <c r="H52" s="77">
        <v>0</v>
      </c>
      <c r="I52" s="77">
        <v>0</v>
      </c>
      <c r="J52" s="77">
        <v>0</v>
      </c>
      <c r="K52" s="77">
        <v>0</v>
      </c>
      <c r="L52" s="406">
        <v>0</v>
      </c>
    </row>
    <row r="53" spans="1:12" ht="15">
      <c r="A53" s="414"/>
      <c r="B53" s="157">
        <v>80120</v>
      </c>
      <c r="C53" s="158" t="s">
        <v>85</v>
      </c>
      <c r="D53" s="77">
        <f t="shared" si="13"/>
        <v>2590788</v>
      </c>
      <c r="E53" s="73">
        <f t="shared" si="15"/>
        <v>2590788</v>
      </c>
      <c r="F53" s="77">
        <f aca="true" t="shared" si="16" ref="F53:L53">SUM(F54:F59)</f>
        <v>2138058</v>
      </c>
      <c r="G53" s="77">
        <f t="shared" si="16"/>
        <v>368274</v>
      </c>
      <c r="H53" s="77">
        <f t="shared" si="16"/>
        <v>84456</v>
      </c>
      <c r="I53" s="77">
        <f t="shared" si="16"/>
        <v>0</v>
      </c>
      <c r="J53" s="77">
        <f t="shared" si="16"/>
        <v>0</v>
      </c>
      <c r="K53" s="77">
        <f t="shared" si="16"/>
        <v>0</v>
      </c>
      <c r="L53" s="415">
        <f t="shared" si="16"/>
        <v>0</v>
      </c>
    </row>
    <row r="54" spans="1:12" ht="15" hidden="1">
      <c r="A54" s="416"/>
      <c r="B54" s="159"/>
      <c r="C54" s="160" t="s">
        <v>150</v>
      </c>
      <c r="D54" s="161">
        <f t="shared" si="13"/>
        <v>2334869</v>
      </c>
      <c r="E54" s="92">
        <f t="shared" si="15"/>
        <v>2334869</v>
      </c>
      <c r="F54" s="77">
        <f>1730200+271295</f>
        <v>2001495</v>
      </c>
      <c r="G54" s="77">
        <f>333374</f>
        <v>333374</v>
      </c>
      <c r="H54" s="77">
        <v>0</v>
      </c>
      <c r="I54" s="77">
        <v>0</v>
      </c>
      <c r="J54" s="77">
        <v>0</v>
      </c>
      <c r="K54" s="77">
        <v>0</v>
      </c>
      <c r="L54" s="415">
        <f>0</f>
        <v>0</v>
      </c>
    </row>
    <row r="55" spans="1:12" ht="15" hidden="1">
      <c r="A55" s="416"/>
      <c r="B55" s="159"/>
      <c r="C55" s="160" t="s">
        <v>279</v>
      </c>
      <c r="D55" s="161">
        <f t="shared" si="13"/>
        <v>68201</v>
      </c>
      <c r="E55" s="92">
        <f t="shared" si="15"/>
        <v>68201</v>
      </c>
      <c r="F55" s="77">
        <f>43551+4650</f>
        <v>48201</v>
      </c>
      <c r="G55" s="77">
        <f>20000</f>
        <v>20000</v>
      </c>
      <c r="H55" s="77">
        <v>0</v>
      </c>
      <c r="I55" s="77">
        <v>0</v>
      </c>
      <c r="J55" s="77">
        <v>0</v>
      </c>
      <c r="K55" s="77">
        <v>0</v>
      </c>
      <c r="L55" s="415">
        <v>0</v>
      </c>
    </row>
    <row r="56" spans="1:12" ht="15" hidden="1">
      <c r="A56" s="416"/>
      <c r="B56" s="159"/>
      <c r="C56" s="160" t="s">
        <v>151</v>
      </c>
      <c r="D56" s="161">
        <f t="shared" si="13"/>
        <v>46080</v>
      </c>
      <c r="E56" s="92">
        <f t="shared" si="15"/>
        <v>46080</v>
      </c>
      <c r="F56" s="77">
        <v>0</v>
      </c>
      <c r="G56" s="77">
        <v>0</v>
      </c>
      <c r="H56" s="77">
        <f>46080</f>
        <v>46080</v>
      </c>
      <c r="I56" s="77">
        <v>0</v>
      </c>
      <c r="J56" s="77">
        <v>0</v>
      </c>
      <c r="K56" s="77">
        <v>0</v>
      </c>
      <c r="L56" s="415">
        <v>0</v>
      </c>
    </row>
    <row r="57" spans="1:12" ht="15" hidden="1">
      <c r="A57" s="416"/>
      <c r="B57" s="159"/>
      <c r="C57" s="160" t="s">
        <v>152</v>
      </c>
      <c r="D57" s="161">
        <f t="shared" si="13"/>
        <v>9360</v>
      </c>
      <c r="E57" s="92">
        <f t="shared" si="15"/>
        <v>9360</v>
      </c>
      <c r="F57" s="77">
        <v>0</v>
      </c>
      <c r="G57" s="77">
        <v>0</v>
      </c>
      <c r="H57" s="77">
        <f>9360</f>
        <v>9360</v>
      </c>
      <c r="I57" s="77">
        <v>0</v>
      </c>
      <c r="J57" s="77">
        <v>0</v>
      </c>
      <c r="K57" s="77">
        <v>0</v>
      </c>
      <c r="L57" s="415">
        <v>0</v>
      </c>
    </row>
    <row r="58" spans="1:12" ht="15" hidden="1">
      <c r="A58" s="416"/>
      <c r="B58" s="159"/>
      <c r="C58" s="160" t="s">
        <v>153</v>
      </c>
      <c r="D58" s="161">
        <f t="shared" si="13"/>
        <v>103262</v>
      </c>
      <c r="E58" s="92">
        <f t="shared" si="15"/>
        <v>103262</v>
      </c>
      <c r="F58" s="77">
        <f>75016+13346</f>
        <v>88362</v>
      </c>
      <c r="G58" s="77">
        <f>14900</f>
        <v>14900</v>
      </c>
      <c r="H58" s="77">
        <v>0</v>
      </c>
      <c r="I58" s="77">
        <v>0</v>
      </c>
      <c r="J58" s="77">
        <v>0</v>
      </c>
      <c r="K58" s="77">
        <v>0</v>
      </c>
      <c r="L58" s="415">
        <v>0</v>
      </c>
    </row>
    <row r="59" spans="1:12" ht="15" hidden="1">
      <c r="A59" s="416"/>
      <c r="B59" s="159"/>
      <c r="C59" s="160" t="s">
        <v>274</v>
      </c>
      <c r="D59" s="161">
        <f t="shared" si="13"/>
        <v>29016</v>
      </c>
      <c r="E59" s="92">
        <f aca="true" t="shared" si="17" ref="E59:E69">SUM(F59:K59)</f>
        <v>29016</v>
      </c>
      <c r="F59" s="77">
        <v>0</v>
      </c>
      <c r="G59" s="77">
        <v>0</v>
      </c>
      <c r="H59" s="77">
        <f>29016</f>
        <v>29016</v>
      </c>
      <c r="I59" s="77">
        <v>0</v>
      </c>
      <c r="J59" s="77">
        <v>0</v>
      </c>
      <c r="K59" s="77">
        <v>0</v>
      </c>
      <c r="L59" s="415">
        <v>0</v>
      </c>
    </row>
    <row r="60" spans="1:12" ht="15">
      <c r="A60" s="414"/>
      <c r="B60" s="157">
        <v>80130</v>
      </c>
      <c r="C60" s="158" t="s">
        <v>87</v>
      </c>
      <c r="D60" s="77">
        <f t="shared" si="13"/>
        <v>4398005</v>
      </c>
      <c r="E60" s="92">
        <f t="shared" si="17"/>
        <v>4398005</v>
      </c>
      <c r="F60" s="77">
        <f aca="true" t="shared" si="18" ref="F60:L60">SUM(F61:F62)</f>
        <v>3599177</v>
      </c>
      <c r="G60" s="77">
        <f t="shared" si="18"/>
        <v>785172</v>
      </c>
      <c r="H60" s="77">
        <f t="shared" si="18"/>
        <v>10656</v>
      </c>
      <c r="I60" s="77">
        <f t="shared" si="18"/>
        <v>3000</v>
      </c>
      <c r="J60" s="77">
        <f t="shared" si="18"/>
        <v>0</v>
      </c>
      <c r="K60" s="77">
        <f t="shared" si="18"/>
        <v>0</v>
      </c>
      <c r="L60" s="415">
        <f t="shared" si="18"/>
        <v>0</v>
      </c>
    </row>
    <row r="61" spans="1:12" ht="1.5" customHeight="1" hidden="1">
      <c r="A61" s="416"/>
      <c r="B61" s="159"/>
      <c r="C61" s="160" t="s">
        <v>153</v>
      </c>
      <c r="D61" s="161">
        <f t="shared" si="13"/>
        <v>4387349</v>
      </c>
      <c r="E61" s="92">
        <f t="shared" si="17"/>
        <v>4387349</v>
      </c>
      <c r="F61" s="77">
        <f>3061583+537594</f>
        <v>3599177</v>
      </c>
      <c r="G61" s="77">
        <f>785172</f>
        <v>785172</v>
      </c>
      <c r="H61" s="77">
        <v>0</v>
      </c>
      <c r="I61" s="77">
        <f>3000</f>
        <v>3000</v>
      </c>
      <c r="J61" s="77">
        <v>0</v>
      </c>
      <c r="K61" s="77">
        <v>0</v>
      </c>
      <c r="L61" s="415">
        <f>0</f>
        <v>0</v>
      </c>
    </row>
    <row r="62" spans="1:12" ht="15" hidden="1">
      <c r="A62" s="416"/>
      <c r="B62" s="159"/>
      <c r="C62" s="160" t="s">
        <v>154</v>
      </c>
      <c r="D62" s="161">
        <f t="shared" si="13"/>
        <v>10656</v>
      </c>
      <c r="E62" s="92">
        <f t="shared" si="17"/>
        <v>10656</v>
      </c>
      <c r="F62" s="77">
        <v>0</v>
      </c>
      <c r="G62" s="77">
        <v>0</v>
      </c>
      <c r="H62" s="77">
        <f>10656</f>
        <v>10656</v>
      </c>
      <c r="I62" s="77">
        <v>0</v>
      </c>
      <c r="J62" s="77">
        <v>0</v>
      </c>
      <c r="K62" s="77">
        <v>0</v>
      </c>
      <c r="L62" s="415">
        <v>0</v>
      </c>
    </row>
    <row r="63" spans="1:12" ht="15">
      <c r="A63" s="414"/>
      <c r="B63" s="157">
        <v>80134</v>
      </c>
      <c r="C63" s="158" t="s">
        <v>91</v>
      </c>
      <c r="D63" s="77">
        <f t="shared" si="13"/>
        <v>775147</v>
      </c>
      <c r="E63" s="92">
        <f t="shared" si="17"/>
        <v>775147</v>
      </c>
      <c r="F63" s="77">
        <f>SUM(F64)</f>
        <v>701071</v>
      </c>
      <c r="G63" s="77">
        <f>SUM(G64)</f>
        <v>74076</v>
      </c>
      <c r="H63" s="77">
        <f>H64</f>
        <v>0</v>
      </c>
      <c r="I63" s="77">
        <f>I64</f>
        <v>0</v>
      </c>
      <c r="J63" s="77">
        <f>J64</f>
        <v>0</v>
      </c>
      <c r="K63" s="77">
        <f>K64</f>
        <v>0</v>
      </c>
      <c r="L63" s="415">
        <f>L64</f>
        <v>0</v>
      </c>
    </row>
    <row r="64" spans="1:12" ht="0.75" customHeight="1">
      <c r="A64" s="416"/>
      <c r="B64" s="159"/>
      <c r="C64" s="160" t="s">
        <v>155</v>
      </c>
      <c r="D64" s="161">
        <f t="shared" si="13"/>
        <v>775147</v>
      </c>
      <c r="E64" s="92">
        <f t="shared" si="17"/>
        <v>775147</v>
      </c>
      <c r="F64" s="77">
        <f>594959+106112</f>
        <v>701071</v>
      </c>
      <c r="G64" s="77">
        <f>74076</f>
        <v>74076</v>
      </c>
      <c r="H64" s="77">
        <v>0</v>
      </c>
      <c r="I64" s="77">
        <v>0</v>
      </c>
      <c r="J64" s="77">
        <v>0</v>
      </c>
      <c r="K64" s="77">
        <v>0</v>
      </c>
      <c r="L64" s="415">
        <v>0</v>
      </c>
    </row>
    <row r="65" spans="1:12" ht="29.25" customHeight="1">
      <c r="A65" s="414"/>
      <c r="B65" s="157">
        <v>80144</v>
      </c>
      <c r="C65" s="158" t="s">
        <v>156</v>
      </c>
      <c r="D65" s="77">
        <f t="shared" si="13"/>
        <v>2119325</v>
      </c>
      <c r="E65" s="92">
        <f t="shared" si="17"/>
        <v>2112925</v>
      </c>
      <c r="F65" s="77">
        <f aca="true" t="shared" si="19" ref="F65:K65">SUM(F66:F67)</f>
        <v>111087</v>
      </c>
      <c r="G65" s="77">
        <f t="shared" si="19"/>
        <v>151088</v>
      </c>
      <c r="H65" s="77">
        <f t="shared" si="19"/>
        <v>1850250</v>
      </c>
      <c r="I65" s="77">
        <f t="shared" si="19"/>
        <v>500</v>
      </c>
      <c r="J65" s="77">
        <f t="shared" si="19"/>
        <v>0</v>
      </c>
      <c r="K65" s="77">
        <f t="shared" si="19"/>
        <v>0</v>
      </c>
      <c r="L65" s="415">
        <f>SUM(L66:L67)</f>
        <v>6400</v>
      </c>
    </row>
    <row r="66" spans="1:12" ht="30" hidden="1">
      <c r="A66" s="416"/>
      <c r="B66" s="159"/>
      <c r="C66" s="160" t="s">
        <v>157</v>
      </c>
      <c r="D66" s="161">
        <f t="shared" si="13"/>
        <v>1850250</v>
      </c>
      <c r="E66" s="92">
        <f t="shared" si="17"/>
        <v>1850250</v>
      </c>
      <c r="F66" s="77">
        <v>0</v>
      </c>
      <c r="G66" s="77">
        <v>0</v>
      </c>
      <c r="H66" s="77">
        <f>1850250</f>
        <v>1850250</v>
      </c>
      <c r="I66" s="77">
        <v>0</v>
      </c>
      <c r="J66" s="77">
        <v>0</v>
      </c>
      <c r="K66" s="77">
        <v>0</v>
      </c>
      <c r="L66" s="415">
        <v>0</v>
      </c>
    </row>
    <row r="67" spans="1:12" ht="15" hidden="1">
      <c r="A67" s="416"/>
      <c r="B67" s="159"/>
      <c r="C67" s="160" t="s">
        <v>281</v>
      </c>
      <c r="D67" s="161">
        <f>E67+L67</f>
        <v>269075</v>
      </c>
      <c r="E67" s="92">
        <f t="shared" si="17"/>
        <v>262675</v>
      </c>
      <c r="F67" s="77">
        <f>94309+16778</f>
        <v>111087</v>
      </c>
      <c r="G67" s="77">
        <f>151088</f>
        <v>151088</v>
      </c>
      <c r="H67" s="77">
        <v>0</v>
      </c>
      <c r="I67" s="77">
        <f>500</f>
        <v>500</v>
      </c>
      <c r="J67" s="77">
        <v>0</v>
      </c>
      <c r="K67" s="77">
        <v>0</v>
      </c>
      <c r="L67" s="415">
        <f>6400</f>
        <v>6400</v>
      </c>
    </row>
    <row r="68" spans="1:12" ht="15">
      <c r="A68" s="414"/>
      <c r="B68" s="157">
        <v>80146</v>
      </c>
      <c r="C68" s="158" t="s">
        <v>158</v>
      </c>
      <c r="D68" s="77">
        <f t="shared" si="13"/>
        <v>63913</v>
      </c>
      <c r="E68" s="92">
        <f t="shared" si="17"/>
        <v>63913</v>
      </c>
      <c r="F68" s="77">
        <v>0</v>
      </c>
      <c r="G68" s="77">
        <f>63913</f>
        <v>63913</v>
      </c>
      <c r="H68" s="77">
        <v>0</v>
      </c>
      <c r="I68" s="77">
        <v>0</v>
      </c>
      <c r="J68" s="77">
        <v>0</v>
      </c>
      <c r="K68" s="77">
        <v>0</v>
      </c>
      <c r="L68" s="415">
        <v>0</v>
      </c>
    </row>
    <row r="69" spans="1:12" ht="15.75" thickBot="1">
      <c r="A69" s="414"/>
      <c r="B69" s="157">
        <v>80195</v>
      </c>
      <c r="C69" s="158" t="s">
        <v>140</v>
      </c>
      <c r="D69" s="77">
        <f t="shared" si="13"/>
        <v>358871</v>
      </c>
      <c r="E69" s="92">
        <f t="shared" si="17"/>
        <v>303871</v>
      </c>
      <c r="F69" s="77">
        <f>28500</f>
        <v>28500</v>
      </c>
      <c r="G69" s="77">
        <f>275371</f>
        <v>275371</v>
      </c>
      <c r="H69" s="77">
        <v>0</v>
      </c>
      <c r="I69" s="77">
        <v>0</v>
      </c>
      <c r="J69" s="77">
        <v>0</v>
      </c>
      <c r="K69" s="77">
        <v>0</v>
      </c>
      <c r="L69" s="415">
        <f>55000</f>
        <v>55000</v>
      </c>
    </row>
    <row r="70" spans="1:12" ht="18" thickBot="1" thickTop="1">
      <c r="A70" s="403">
        <v>851</v>
      </c>
      <c r="B70" s="147"/>
      <c r="C70" s="151" t="s">
        <v>13</v>
      </c>
      <c r="D70" s="67">
        <f t="shared" si="13"/>
        <v>2091760</v>
      </c>
      <c r="E70" s="68">
        <f>F70+G70+H70+K70+I70</f>
        <v>2091760</v>
      </c>
      <c r="F70" s="67">
        <f>F71+F75</f>
        <v>44000</v>
      </c>
      <c r="G70" s="67">
        <f>G71+G75</f>
        <v>2047760</v>
      </c>
      <c r="H70" s="67">
        <f>H71</f>
        <v>0</v>
      </c>
      <c r="I70" s="67">
        <f>I71</f>
        <v>0</v>
      </c>
      <c r="J70" s="67">
        <f>J71</f>
        <v>0</v>
      </c>
      <c r="K70" s="67">
        <f>K71</f>
        <v>0</v>
      </c>
      <c r="L70" s="404">
        <f>L71</f>
        <v>0</v>
      </c>
    </row>
    <row r="71" spans="1:12" ht="45.75" thickTop="1">
      <c r="A71" s="405"/>
      <c r="B71" s="149">
        <v>85156</v>
      </c>
      <c r="C71" s="150" t="s">
        <v>92</v>
      </c>
      <c r="D71" s="72">
        <f t="shared" si="13"/>
        <v>1791760</v>
      </c>
      <c r="E71" s="73">
        <f aca="true" t="shared" si="20" ref="E71:E76">SUM(F71:K71)</f>
        <v>1791760</v>
      </c>
      <c r="F71" s="72">
        <f aca="true" t="shared" si="21" ref="F71:L71">F72+F73+F74</f>
        <v>0</v>
      </c>
      <c r="G71" s="72">
        <f t="shared" si="21"/>
        <v>1791760</v>
      </c>
      <c r="H71" s="72">
        <f t="shared" si="21"/>
        <v>0</v>
      </c>
      <c r="I71" s="72">
        <f>I72+I73+I74</f>
        <v>0</v>
      </c>
      <c r="J71" s="72">
        <f t="shared" si="21"/>
        <v>0</v>
      </c>
      <c r="K71" s="72">
        <f t="shared" si="21"/>
        <v>0</v>
      </c>
      <c r="L71" s="406">
        <f t="shared" si="21"/>
        <v>0</v>
      </c>
    </row>
    <row r="72" spans="1:12" ht="15" hidden="1">
      <c r="A72" s="416"/>
      <c r="B72" s="159"/>
      <c r="C72" s="160" t="s">
        <v>159</v>
      </c>
      <c r="D72" s="161">
        <f t="shared" si="13"/>
        <v>1778000</v>
      </c>
      <c r="E72" s="73">
        <f t="shared" si="20"/>
        <v>1778000</v>
      </c>
      <c r="F72" s="77">
        <v>0</v>
      </c>
      <c r="G72" s="77">
        <v>1778000</v>
      </c>
      <c r="H72" s="77">
        <v>0</v>
      </c>
      <c r="I72" s="77">
        <v>0</v>
      </c>
      <c r="J72" s="77">
        <v>0</v>
      </c>
      <c r="K72" s="77">
        <v>0</v>
      </c>
      <c r="L72" s="415">
        <v>0</v>
      </c>
    </row>
    <row r="73" spans="1:12" ht="15" hidden="1">
      <c r="A73" s="416"/>
      <c r="B73" s="159"/>
      <c r="C73" s="160" t="s">
        <v>160</v>
      </c>
      <c r="D73" s="161">
        <f t="shared" si="13"/>
        <v>13000</v>
      </c>
      <c r="E73" s="73">
        <f t="shared" si="20"/>
        <v>13000</v>
      </c>
      <c r="F73" s="77">
        <v>0</v>
      </c>
      <c r="G73" s="77">
        <v>13000</v>
      </c>
      <c r="H73" s="77">
        <v>0</v>
      </c>
      <c r="I73" s="77">
        <v>0</v>
      </c>
      <c r="J73" s="77">
        <v>0</v>
      </c>
      <c r="K73" s="77">
        <v>0</v>
      </c>
      <c r="L73" s="415">
        <v>0</v>
      </c>
    </row>
    <row r="74" spans="1:12" ht="15" hidden="1">
      <c r="A74" s="416"/>
      <c r="B74" s="159"/>
      <c r="C74" s="160" t="s">
        <v>313</v>
      </c>
      <c r="D74" s="161">
        <f t="shared" si="13"/>
        <v>760</v>
      </c>
      <c r="E74" s="73">
        <f t="shared" si="20"/>
        <v>760</v>
      </c>
      <c r="F74" s="77">
        <v>0</v>
      </c>
      <c r="G74" s="77">
        <f>760</f>
        <v>760</v>
      </c>
      <c r="H74" s="77">
        <v>0</v>
      </c>
      <c r="I74" s="77">
        <v>0</v>
      </c>
      <c r="J74" s="77">
        <v>0</v>
      </c>
      <c r="K74" s="77">
        <v>0</v>
      </c>
      <c r="L74" s="415">
        <v>0</v>
      </c>
    </row>
    <row r="75" spans="1:12" ht="15.75" thickBot="1">
      <c r="A75" s="414"/>
      <c r="B75" s="157">
        <v>85195</v>
      </c>
      <c r="C75" s="158" t="s">
        <v>140</v>
      </c>
      <c r="D75" s="77">
        <f t="shared" si="13"/>
        <v>300000</v>
      </c>
      <c r="E75" s="73">
        <f t="shared" si="20"/>
        <v>300000</v>
      </c>
      <c r="F75" s="77">
        <f>F76</f>
        <v>44000</v>
      </c>
      <c r="G75" s="77">
        <f>G76</f>
        <v>256000</v>
      </c>
      <c r="H75" s="77">
        <v>0</v>
      </c>
      <c r="I75" s="77">
        <v>0</v>
      </c>
      <c r="J75" s="77">
        <v>0</v>
      </c>
      <c r="K75" s="77">
        <v>0</v>
      </c>
      <c r="L75" s="415">
        <v>0</v>
      </c>
    </row>
    <row r="76" spans="1:12" ht="0.75" customHeight="1" hidden="1" thickBot="1">
      <c r="A76" s="419"/>
      <c r="B76" s="164"/>
      <c r="C76" s="165" t="s">
        <v>161</v>
      </c>
      <c r="D76" s="171">
        <f t="shared" si="13"/>
        <v>300000</v>
      </c>
      <c r="E76" s="73">
        <f t="shared" si="20"/>
        <v>300000</v>
      </c>
      <c r="F76" s="93">
        <f>44000</f>
        <v>44000</v>
      </c>
      <c r="G76" s="93">
        <f>190000+66000</f>
        <v>256000</v>
      </c>
      <c r="H76" s="93">
        <v>0</v>
      </c>
      <c r="I76" s="93">
        <v>0</v>
      </c>
      <c r="J76" s="93">
        <v>0</v>
      </c>
      <c r="K76" s="93">
        <v>0</v>
      </c>
      <c r="L76" s="413">
        <v>0</v>
      </c>
    </row>
    <row r="77" spans="1:12" ht="18" thickBot="1" thickTop="1">
      <c r="A77" s="403">
        <v>852</v>
      </c>
      <c r="B77" s="172"/>
      <c r="C77" s="151" t="s">
        <v>96</v>
      </c>
      <c r="D77" s="67">
        <f>E77+L77</f>
        <v>6884784</v>
      </c>
      <c r="E77" s="68">
        <f>F77+G77+H77+K77+J77+I77</f>
        <v>6760784</v>
      </c>
      <c r="F77" s="67">
        <f aca="true" t="shared" si="22" ref="F77:K77">SUM(F78+F82+F83+F86+F87+F85)</f>
        <v>3329709</v>
      </c>
      <c r="G77" s="67">
        <f t="shared" si="22"/>
        <v>1204525</v>
      </c>
      <c r="H77" s="67">
        <f t="shared" si="22"/>
        <v>629400</v>
      </c>
      <c r="I77" s="67">
        <f t="shared" si="22"/>
        <v>1597150</v>
      </c>
      <c r="J77" s="67">
        <f t="shared" si="22"/>
        <v>0</v>
      </c>
      <c r="K77" s="67">
        <f t="shared" si="22"/>
        <v>0</v>
      </c>
      <c r="L77" s="404">
        <f>SUM(L78+L82+L83+L85+L86+L87)</f>
        <v>124000</v>
      </c>
    </row>
    <row r="78" spans="1:12" ht="15.75" thickTop="1">
      <c r="A78" s="405"/>
      <c r="B78" s="149">
        <v>85201</v>
      </c>
      <c r="C78" s="150" t="s">
        <v>162</v>
      </c>
      <c r="D78" s="72">
        <f t="shared" si="13"/>
        <v>2156700</v>
      </c>
      <c r="E78" s="73">
        <f>SUM(F78:K78)</f>
        <v>2156700</v>
      </c>
      <c r="F78" s="72">
        <f aca="true" t="shared" si="23" ref="F78:K78">SUM(F79:F81)</f>
        <v>1048000</v>
      </c>
      <c r="G78" s="72">
        <f t="shared" si="23"/>
        <v>377500</v>
      </c>
      <c r="H78" s="72">
        <f t="shared" si="23"/>
        <v>629400</v>
      </c>
      <c r="I78" s="72">
        <f>SUM(I79:I81)</f>
        <v>101800</v>
      </c>
      <c r="J78" s="72">
        <f t="shared" si="23"/>
        <v>0</v>
      </c>
      <c r="K78" s="72">
        <f t="shared" si="23"/>
        <v>0</v>
      </c>
      <c r="L78" s="406">
        <f>SUM(L79:L81)</f>
        <v>0</v>
      </c>
    </row>
    <row r="79" spans="1:12" ht="15" hidden="1">
      <c r="A79" s="416"/>
      <c r="B79" s="159"/>
      <c r="C79" s="160" t="s">
        <v>160</v>
      </c>
      <c r="D79" s="161">
        <f t="shared" si="13"/>
        <v>1449000</v>
      </c>
      <c r="E79" s="73">
        <f aca="true" t="shared" si="24" ref="E79:E89">SUM(F79:K79)</f>
        <v>1449000</v>
      </c>
      <c r="F79" s="77">
        <f>898000+150000</f>
        <v>1048000</v>
      </c>
      <c r="G79" s="77">
        <f>373000</f>
        <v>373000</v>
      </c>
      <c r="H79" s="77">
        <v>0</v>
      </c>
      <c r="I79" s="77">
        <f>28000</f>
        <v>28000</v>
      </c>
      <c r="J79" s="77">
        <v>0</v>
      </c>
      <c r="K79" s="77">
        <v>0</v>
      </c>
      <c r="L79" s="415">
        <f>120000-120000</f>
        <v>0</v>
      </c>
    </row>
    <row r="80" spans="1:12" ht="15" hidden="1">
      <c r="A80" s="416"/>
      <c r="B80" s="159"/>
      <c r="C80" s="160" t="s">
        <v>163</v>
      </c>
      <c r="D80" s="161">
        <f t="shared" si="13"/>
        <v>78300</v>
      </c>
      <c r="E80" s="73">
        <f t="shared" si="24"/>
        <v>78300</v>
      </c>
      <c r="F80" s="77">
        <v>0</v>
      </c>
      <c r="G80" s="77">
        <f>4500</f>
        <v>4500</v>
      </c>
      <c r="H80" s="77">
        <v>0</v>
      </c>
      <c r="I80" s="77">
        <f>73800</f>
        <v>73800</v>
      </c>
      <c r="J80" s="77">
        <v>0</v>
      </c>
      <c r="K80" s="77">
        <v>0</v>
      </c>
      <c r="L80" s="415">
        <v>0</v>
      </c>
    </row>
    <row r="81" spans="1:12" ht="15" hidden="1">
      <c r="A81" s="416"/>
      <c r="B81" s="159"/>
      <c r="C81" s="160" t="s">
        <v>164</v>
      </c>
      <c r="D81" s="161">
        <f t="shared" si="13"/>
        <v>629400</v>
      </c>
      <c r="E81" s="73">
        <f t="shared" si="24"/>
        <v>629400</v>
      </c>
      <c r="F81" s="77">
        <v>0</v>
      </c>
      <c r="G81" s="77">
        <v>0</v>
      </c>
      <c r="H81" s="77">
        <v>629400</v>
      </c>
      <c r="I81" s="77">
        <v>0</v>
      </c>
      <c r="J81" s="77">
        <v>0</v>
      </c>
      <c r="K81" s="77">
        <v>0</v>
      </c>
      <c r="L81" s="415">
        <v>0</v>
      </c>
    </row>
    <row r="82" spans="1:12" ht="15">
      <c r="A82" s="414"/>
      <c r="B82" s="157">
        <v>85202</v>
      </c>
      <c r="C82" s="158" t="s">
        <v>100</v>
      </c>
      <c r="D82" s="77">
        <f t="shared" si="13"/>
        <v>2825289</v>
      </c>
      <c r="E82" s="73">
        <f t="shared" si="24"/>
        <v>2701289</v>
      </c>
      <c r="F82" s="77">
        <f>1650108+295498</f>
        <v>1945606</v>
      </c>
      <c r="G82" s="77">
        <f>747803</f>
        <v>747803</v>
      </c>
      <c r="H82" s="77">
        <v>0</v>
      </c>
      <c r="I82" s="77">
        <f>7880</f>
        <v>7880</v>
      </c>
      <c r="J82" s="77">
        <v>0</v>
      </c>
      <c r="K82" s="77">
        <v>0</v>
      </c>
      <c r="L82" s="415">
        <f>124000</f>
        <v>124000</v>
      </c>
    </row>
    <row r="83" spans="1:12" s="15" customFormat="1" ht="16.5">
      <c r="A83" s="422"/>
      <c r="B83" s="157">
        <v>85204</v>
      </c>
      <c r="C83" s="158" t="s">
        <v>165</v>
      </c>
      <c r="D83" s="77">
        <f t="shared" si="13"/>
        <v>1525270</v>
      </c>
      <c r="E83" s="73">
        <f t="shared" si="24"/>
        <v>1525270</v>
      </c>
      <c r="F83" s="77">
        <f aca="true" t="shared" si="25" ref="F83:L83">SUM(F84)</f>
        <v>24000</v>
      </c>
      <c r="G83" s="77">
        <f>SUM(G84)</f>
        <v>15000</v>
      </c>
      <c r="H83" s="77">
        <f t="shared" si="25"/>
        <v>0</v>
      </c>
      <c r="I83" s="77">
        <f t="shared" si="25"/>
        <v>1486270</v>
      </c>
      <c r="J83" s="77">
        <f t="shared" si="25"/>
        <v>0</v>
      </c>
      <c r="K83" s="77">
        <f t="shared" si="25"/>
        <v>0</v>
      </c>
      <c r="L83" s="415">
        <f t="shared" si="25"/>
        <v>0</v>
      </c>
    </row>
    <row r="84" spans="1:12" ht="15" hidden="1">
      <c r="A84" s="416"/>
      <c r="B84" s="159"/>
      <c r="C84" s="160" t="s">
        <v>163</v>
      </c>
      <c r="D84" s="161">
        <f t="shared" si="13"/>
        <v>1525270</v>
      </c>
      <c r="E84" s="73">
        <f>SUM(F84:K84)</f>
        <v>1525270</v>
      </c>
      <c r="F84" s="77">
        <f>24000</f>
        <v>24000</v>
      </c>
      <c r="G84" s="77">
        <f>15000</f>
        <v>15000</v>
      </c>
      <c r="H84" s="77">
        <v>0</v>
      </c>
      <c r="I84" s="77">
        <f>1486270</f>
        <v>1486270</v>
      </c>
      <c r="J84" s="77">
        <v>0</v>
      </c>
      <c r="K84" s="77">
        <v>0</v>
      </c>
      <c r="L84" s="415">
        <v>0</v>
      </c>
    </row>
    <row r="85" spans="1:12" ht="30">
      <c r="A85" s="414"/>
      <c r="B85" s="157">
        <v>85205</v>
      </c>
      <c r="C85" s="71" t="s">
        <v>271</v>
      </c>
      <c r="D85" s="77">
        <f t="shared" si="13"/>
        <v>7000</v>
      </c>
      <c r="E85" s="73">
        <f t="shared" si="24"/>
        <v>7000</v>
      </c>
      <c r="F85" s="77">
        <v>0</v>
      </c>
      <c r="G85" s="77">
        <f>7000</f>
        <v>7000</v>
      </c>
      <c r="H85" s="77">
        <v>0</v>
      </c>
      <c r="I85" s="77">
        <v>0</v>
      </c>
      <c r="J85" s="77">
        <v>0</v>
      </c>
      <c r="K85" s="77">
        <v>0</v>
      </c>
      <c r="L85" s="415">
        <v>0</v>
      </c>
    </row>
    <row r="86" spans="1:12" ht="15">
      <c r="A86" s="414"/>
      <c r="B86" s="157">
        <v>85218</v>
      </c>
      <c r="C86" s="158" t="s">
        <v>166</v>
      </c>
      <c r="D86" s="77">
        <f t="shared" si="13"/>
        <v>315379</v>
      </c>
      <c r="E86" s="73">
        <f t="shared" si="24"/>
        <v>315379</v>
      </c>
      <c r="F86" s="77">
        <f>238265+43792-3100</f>
        <v>278957</v>
      </c>
      <c r="G86" s="77">
        <f>35222</f>
        <v>35222</v>
      </c>
      <c r="H86" s="77">
        <v>0</v>
      </c>
      <c r="I86" s="77">
        <f>1200</f>
        <v>1200</v>
      </c>
      <c r="J86" s="77">
        <v>0</v>
      </c>
      <c r="K86" s="77">
        <v>0</v>
      </c>
      <c r="L86" s="415">
        <f>10000-10000</f>
        <v>0</v>
      </c>
    </row>
    <row r="87" spans="1:12" ht="45.75" thickBot="1">
      <c r="A87" s="414"/>
      <c r="B87" s="157">
        <v>85220</v>
      </c>
      <c r="C87" s="158" t="s">
        <v>268</v>
      </c>
      <c r="D87" s="77">
        <f>SUM(E87+L87)</f>
        <v>55146</v>
      </c>
      <c r="E87" s="73">
        <f t="shared" si="24"/>
        <v>55146</v>
      </c>
      <c r="F87" s="77">
        <f aca="true" t="shared" si="26" ref="F87:L87">SUM(F88:F89)</f>
        <v>33146</v>
      </c>
      <c r="G87" s="77">
        <f t="shared" si="26"/>
        <v>22000</v>
      </c>
      <c r="H87" s="77">
        <f t="shared" si="26"/>
        <v>0</v>
      </c>
      <c r="I87" s="77">
        <f>SUM(I88:I89)</f>
        <v>0</v>
      </c>
      <c r="J87" s="77">
        <f t="shared" si="26"/>
        <v>0</v>
      </c>
      <c r="K87" s="77">
        <f t="shared" si="26"/>
        <v>0</v>
      </c>
      <c r="L87" s="415">
        <f t="shared" si="26"/>
        <v>0</v>
      </c>
    </row>
    <row r="88" spans="1:12" ht="15.75" hidden="1" thickBot="1">
      <c r="A88" s="416"/>
      <c r="B88" s="159"/>
      <c r="C88" s="160" t="s">
        <v>160</v>
      </c>
      <c r="D88" s="161">
        <f>SUM(E88)</f>
        <v>15000</v>
      </c>
      <c r="E88" s="73">
        <f t="shared" si="24"/>
        <v>15000</v>
      </c>
      <c r="F88" s="77">
        <f>20400+3700-24100</f>
        <v>0</v>
      </c>
      <c r="G88" s="77">
        <f>15000</f>
        <v>15000</v>
      </c>
      <c r="H88" s="77">
        <v>0</v>
      </c>
      <c r="I88" s="77">
        <v>0</v>
      </c>
      <c r="J88" s="77">
        <v>0</v>
      </c>
      <c r="K88" s="77">
        <v>0</v>
      </c>
      <c r="L88" s="415">
        <v>0</v>
      </c>
    </row>
    <row r="89" spans="1:12" ht="15.75" hidden="1" thickBot="1">
      <c r="A89" s="416"/>
      <c r="B89" s="159"/>
      <c r="C89" s="160" t="s">
        <v>163</v>
      </c>
      <c r="D89" s="161">
        <f aca="true" t="shared" si="27" ref="D89:D105">E89+L89</f>
        <v>40146</v>
      </c>
      <c r="E89" s="73">
        <f t="shared" si="24"/>
        <v>40146</v>
      </c>
      <c r="F89" s="77">
        <f>28000+5146</f>
        <v>33146</v>
      </c>
      <c r="G89" s="77">
        <f>7000</f>
        <v>7000</v>
      </c>
      <c r="H89" s="77">
        <v>0</v>
      </c>
      <c r="I89" s="77">
        <v>0</v>
      </c>
      <c r="J89" s="77">
        <v>0</v>
      </c>
      <c r="K89" s="77">
        <v>0</v>
      </c>
      <c r="L89" s="415">
        <v>0</v>
      </c>
    </row>
    <row r="90" spans="1:12" ht="34.5" thickBot="1" thickTop="1">
      <c r="A90" s="403">
        <v>853</v>
      </c>
      <c r="B90" s="147"/>
      <c r="C90" s="151" t="s">
        <v>18</v>
      </c>
      <c r="D90" s="67">
        <f>E90+L90</f>
        <v>1524842</v>
      </c>
      <c r="E90" s="68">
        <f>F90+G90+H90+K90+J90+I90</f>
        <v>1524842</v>
      </c>
      <c r="F90" s="67">
        <f aca="true" t="shared" si="28" ref="F90:K90">F92+F93+F91+F94</f>
        <v>1255779</v>
      </c>
      <c r="G90" s="67">
        <f t="shared" si="28"/>
        <v>124085</v>
      </c>
      <c r="H90" s="67">
        <f t="shared" si="28"/>
        <v>57540</v>
      </c>
      <c r="I90" s="67">
        <f t="shared" si="28"/>
        <v>0</v>
      </c>
      <c r="J90" s="67">
        <f t="shared" si="28"/>
        <v>87438</v>
      </c>
      <c r="K90" s="67">
        <f t="shared" si="28"/>
        <v>0</v>
      </c>
      <c r="L90" s="404">
        <f>L92+L93</f>
        <v>0</v>
      </c>
    </row>
    <row r="91" spans="1:12" ht="29.25" customHeight="1" thickTop="1">
      <c r="A91" s="423"/>
      <c r="B91" s="167">
        <v>85311</v>
      </c>
      <c r="C91" s="168" t="s">
        <v>167</v>
      </c>
      <c r="D91" s="108">
        <f t="shared" si="27"/>
        <v>57540</v>
      </c>
      <c r="E91" s="109">
        <f>SUM(F91:K91)</f>
        <v>57540</v>
      </c>
      <c r="F91" s="108">
        <v>0</v>
      </c>
      <c r="G91" s="108">
        <v>0</v>
      </c>
      <c r="H91" s="108">
        <f>57540</f>
        <v>57540</v>
      </c>
      <c r="I91" s="108">
        <v>0</v>
      </c>
      <c r="J91" s="108">
        <v>0</v>
      </c>
      <c r="K91" s="108">
        <v>0</v>
      </c>
      <c r="L91" s="421">
        <v>0</v>
      </c>
    </row>
    <row r="92" spans="1:12" ht="30">
      <c r="A92" s="405"/>
      <c r="B92" s="149">
        <v>85321</v>
      </c>
      <c r="C92" s="150" t="s">
        <v>102</v>
      </c>
      <c r="D92" s="359">
        <f t="shared" si="27"/>
        <v>110114</v>
      </c>
      <c r="E92" s="463">
        <f>SUM(F92:K92)</f>
        <v>110114</v>
      </c>
      <c r="F92" s="359">
        <f>165081+25298-91000</f>
        <v>99379</v>
      </c>
      <c r="G92" s="359">
        <f>19735-9000</f>
        <v>10735</v>
      </c>
      <c r="H92" s="359">
        <v>0</v>
      </c>
      <c r="I92" s="359">
        <v>0</v>
      </c>
      <c r="J92" s="359">
        <v>0</v>
      </c>
      <c r="K92" s="359">
        <v>0</v>
      </c>
      <c r="L92" s="424">
        <v>0</v>
      </c>
    </row>
    <row r="93" spans="1:12" ht="15">
      <c r="A93" s="425"/>
      <c r="B93" s="162">
        <v>85333</v>
      </c>
      <c r="C93" s="163" t="s">
        <v>168</v>
      </c>
      <c r="D93" s="87">
        <f t="shared" si="27"/>
        <v>1269750</v>
      </c>
      <c r="E93" s="92">
        <f>SUM(F93:K93)</f>
        <v>1269750</v>
      </c>
      <c r="F93" s="87">
        <f>975900+180500</f>
        <v>1156400</v>
      </c>
      <c r="G93" s="87">
        <f>113350</f>
        <v>113350</v>
      </c>
      <c r="H93" s="87">
        <v>0</v>
      </c>
      <c r="I93" s="87">
        <v>0</v>
      </c>
      <c r="J93" s="87">
        <v>0</v>
      </c>
      <c r="K93" s="87">
        <v>0</v>
      </c>
      <c r="L93" s="418">
        <v>0</v>
      </c>
    </row>
    <row r="94" spans="1:12" ht="14.25" customHeight="1" thickBot="1">
      <c r="A94" s="425"/>
      <c r="B94" s="162">
        <v>85395</v>
      </c>
      <c r="C94" s="163" t="s">
        <v>140</v>
      </c>
      <c r="D94" s="87">
        <f>SUM(D95:D95)</f>
        <v>87438</v>
      </c>
      <c r="E94" s="92">
        <f>SUM(F94:K94)</f>
        <v>87438</v>
      </c>
      <c r="F94" s="77">
        <f aca="true" t="shared" si="29" ref="F94:L94">SUM(F95:F95)</f>
        <v>0</v>
      </c>
      <c r="G94" s="77">
        <f t="shared" si="29"/>
        <v>0</v>
      </c>
      <c r="H94" s="77">
        <f t="shared" si="29"/>
        <v>0</v>
      </c>
      <c r="I94" s="77">
        <f t="shared" si="29"/>
        <v>0</v>
      </c>
      <c r="J94" s="77">
        <f t="shared" si="29"/>
        <v>87438</v>
      </c>
      <c r="K94" s="77">
        <f t="shared" si="29"/>
        <v>0</v>
      </c>
      <c r="L94" s="415">
        <f t="shared" si="29"/>
        <v>0</v>
      </c>
    </row>
    <row r="95" spans="1:12" ht="15" customHeight="1" hidden="1" thickBot="1">
      <c r="A95" s="426"/>
      <c r="B95" s="159"/>
      <c r="C95" s="399" t="s">
        <v>314</v>
      </c>
      <c r="D95" s="166">
        <f>E95+L95</f>
        <v>87438</v>
      </c>
      <c r="E95" s="92">
        <f>SUM(F95:K95)</f>
        <v>87438</v>
      </c>
      <c r="F95" s="77">
        <v>0</v>
      </c>
      <c r="G95" s="77">
        <v>0</v>
      </c>
      <c r="H95" s="77">
        <v>0</v>
      </c>
      <c r="I95" s="77">
        <v>0</v>
      </c>
      <c r="J95" s="77">
        <f>87438</f>
        <v>87438</v>
      </c>
      <c r="K95" s="77">
        <v>0</v>
      </c>
      <c r="L95" s="415">
        <v>0</v>
      </c>
    </row>
    <row r="96" spans="1:12" ht="18" thickBot="1" thickTop="1">
      <c r="A96" s="403">
        <v>854</v>
      </c>
      <c r="B96" s="147"/>
      <c r="C96" s="151" t="s">
        <v>14</v>
      </c>
      <c r="D96" s="67">
        <f t="shared" si="27"/>
        <v>3065770</v>
      </c>
      <c r="E96" s="68">
        <f>F96+G96+H96+K96+I96</f>
        <v>3065770</v>
      </c>
      <c r="F96" s="67">
        <f aca="true" t="shared" si="30" ref="F96:L96">F97+F98+F99+F100</f>
        <v>2348046</v>
      </c>
      <c r="G96" s="67">
        <f t="shared" si="30"/>
        <v>713224</v>
      </c>
      <c r="H96" s="67">
        <f t="shared" si="30"/>
        <v>0</v>
      </c>
      <c r="I96" s="67">
        <f>I97+I98+I99+I100</f>
        <v>4500</v>
      </c>
      <c r="J96" s="67">
        <f t="shared" si="30"/>
        <v>0</v>
      </c>
      <c r="K96" s="67">
        <f t="shared" si="30"/>
        <v>0</v>
      </c>
      <c r="L96" s="404">
        <f t="shared" si="30"/>
        <v>0</v>
      </c>
    </row>
    <row r="97" spans="1:12" ht="15.75" thickTop="1">
      <c r="A97" s="405"/>
      <c r="B97" s="149">
        <v>85403</v>
      </c>
      <c r="C97" s="150" t="s">
        <v>169</v>
      </c>
      <c r="D97" s="72">
        <f t="shared" si="27"/>
        <v>1676471</v>
      </c>
      <c r="E97" s="73">
        <f>SUM(F97:K97)</f>
        <v>1676471</v>
      </c>
      <c r="F97" s="72">
        <f>1102031+186229</f>
        <v>1288260</v>
      </c>
      <c r="G97" s="72">
        <f>384211</f>
        <v>384211</v>
      </c>
      <c r="H97" s="72">
        <v>0</v>
      </c>
      <c r="I97" s="72">
        <f>4000</f>
        <v>4000</v>
      </c>
      <c r="J97" s="72">
        <v>0</v>
      </c>
      <c r="K97" s="72">
        <v>0</v>
      </c>
      <c r="L97" s="406">
        <v>0</v>
      </c>
    </row>
    <row r="98" spans="1:12" ht="30">
      <c r="A98" s="414"/>
      <c r="B98" s="157">
        <v>85406</v>
      </c>
      <c r="C98" s="158" t="s">
        <v>170</v>
      </c>
      <c r="D98" s="77">
        <f t="shared" si="27"/>
        <v>606583</v>
      </c>
      <c r="E98" s="73">
        <f>SUM(F98:K98)</f>
        <v>606583</v>
      </c>
      <c r="F98" s="77">
        <f>466187+82236</f>
        <v>548423</v>
      </c>
      <c r="G98" s="77">
        <f>57660</f>
        <v>57660</v>
      </c>
      <c r="H98" s="77">
        <v>0</v>
      </c>
      <c r="I98" s="77">
        <f>500</f>
        <v>500</v>
      </c>
      <c r="J98" s="77">
        <v>0</v>
      </c>
      <c r="K98" s="77">
        <v>0</v>
      </c>
      <c r="L98" s="415">
        <v>0</v>
      </c>
    </row>
    <row r="99" spans="1:12" ht="15">
      <c r="A99" s="414"/>
      <c r="B99" s="157">
        <v>85407</v>
      </c>
      <c r="C99" s="158" t="s">
        <v>171</v>
      </c>
      <c r="D99" s="77">
        <f t="shared" si="27"/>
        <v>288754</v>
      </c>
      <c r="E99" s="73">
        <f>SUM(F99:K99)</f>
        <v>288754</v>
      </c>
      <c r="F99" s="77">
        <f>213683+16433</f>
        <v>230116</v>
      </c>
      <c r="G99" s="77">
        <f>58638</f>
        <v>58638</v>
      </c>
      <c r="H99" s="77">
        <v>0</v>
      </c>
      <c r="I99" s="77">
        <v>0</v>
      </c>
      <c r="J99" s="77">
        <v>0</v>
      </c>
      <c r="K99" s="77">
        <v>0</v>
      </c>
      <c r="L99" s="415">
        <v>0</v>
      </c>
    </row>
    <row r="100" spans="1:12" ht="15.75" thickBot="1">
      <c r="A100" s="414"/>
      <c r="B100" s="157">
        <v>85410</v>
      </c>
      <c r="C100" s="158" t="s">
        <v>108</v>
      </c>
      <c r="D100" s="77">
        <f t="shared" si="27"/>
        <v>493962</v>
      </c>
      <c r="E100" s="73">
        <f>SUM(F100:K100)</f>
        <v>493962</v>
      </c>
      <c r="F100" s="77">
        <f>238771+42476</f>
        <v>281247</v>
      </c>
      <c r="G100" s="77">
        <f>212715</f>
        <v>212715</v>
      </c>
      <c r="H100" s="77">
        <v>0</v>
      </c>
      <c r="I100" s="77">
        <v>0</v>
      </c>
      <c r="J100" s="77">
        <v>0</v>
      </c>
      <c r="K100" s="77">
        <v>0</v>
      </c>
      <c r="L100" s="415">
        <f>0</f>
        <v>0</v>
      </c>
    </row>
    <row r="101" spans="1:12" ht="34.5" thickBot="1" thickTop="1">
      <c r="A101" s="427">
        <v>900</v>
      </c>
      <c r="B101" s="173"/>
      <c r="C101" s="174" t="s">
        <v>284</v>
      </c>
      <c r="D101" s="67">
        <f>E101+L101</f>
        <v>79500</v>
      </c>
      <c r="E101" s="68">
        <f>F101+G101+H101+K101+I101</f>
        <v>69000</v>
      </c>
      <c r="F101" s="67">
        <f>F102+F103</f>
        <v>0</v>
      </c>
      <c r="G101" s="67">
        <f aca="true" t="shared" si="31" ref="G101:L101">SUM(G102)</f>
        <v>69000</v>
      </c>
      <c r="H101" s="67">
        <f t="shared" si="31"/>
        <v>0</v>
      </c>
      <c r="I101" s="67">
        <f t="shared" si="31"/>
        <v>0</v>
      </c>
      <c r="J101" s="67">
        <f t="shared" si="31"/>
        <v>0</v>
      </c>
      <c r="K101" s="67">
        <f t="shared" si="31"/>
        <v>0</v>
      </c>
      <c r="L101" s="404">
        <f t="shared" si="31"/>
        <v>10500</v>
      </c>
    </row>
    <row r="102" spans="1:12" ht="16.5" thickBot="1" thickTop="1">
      <c r="A102" s="405"/>
      <c r="B102" s="149">
        <v>90095</v>
      </c>
      <c r="C102" s="150" t="s">
        <v>140</v>
      </c>
      <c r="D102" s="72">
        <f t="shared" si="27"/>
        <v>79500</v>
      </c>
      <c r="E102" s="73">
        <f>SUM(F102:K102)</f>
        <v>69000</v>
      </c>
      <c r="F102" s="72">
        <v>0</v>
      </c>
      <c r="G102" s="72">
        <f>69000</f>
        <v>69000</v>
      </c>
      <c r="H102" s="72">
        <v>0</v>
      </c>
      <c r="I102" s="72">
        <v>0</v>
      </c>
      <c r="J102" s="72">
        <v>0</v>
      </c>
      <c r="K102" s="72">
        <v>0</v>
      </c>
      <c r="L102" s="406">
        <f>10500</f>
        <v>10500</v>
      </c>
    </row>
    <row r="103" spans="1:12" ht="34.5" thickBot="1" thickTop="1">
      <c r="A103" s="427">
        <v>921</v>
      </c>
      <c r="B103" s="173"/>
      <c r="C103" s="174" t="s">
        <v>25</v>
      </c>
      <c r="D103" s="67">
        <f>E103+L103</f>
        <v>46000</v>
      </c>
      <c r="E103" s="68">
        <f>F103+G103+H103+K103+I103</f>
        <v>46000</v>
      </c>
      <c r="F103" s="67">
        <f aca="true" t="shared" si="32" ref="F103:K103">F104+F105</f>
        <v>0</v>
      </c>
      <c r="G103" s="67">
        <f t="shared" si="32"/>
        <v>20000</v>
      </c>
      <c r="H103" s="67">
        <f t="shared" si="32"/>
        <v>26000</v>
      </c>
      <c r="I103" s="67">
        <f t="shared" si="32"/>
        <v>0</v>
      </c>
      <c r="J103" s="67">
        <f t="shared" si="32"/>
        <v>0</v>
      </c>
      <c r="K103" s="67">
        <f t="shared" si="32"/>
        <v>0</v>
      </c>
      <c r="L103" s="404">
        <f>SUM(L104:L105)</f>
        <v>0</v>
      </c>
    </row>
    <row r="104" spans="1:12" ht="15.75" thickTop="1">
      <c r="A104" s="405"/>
      <c r="B104" s="149">
        <v>92116</v>
      </c>
      <c r="C104" s="150" t="s">
        <v>172</v>
      </c>
      <c r="D104" s="72">
        <f t="shared" si="27"/>
        <v>26000</v>
      </c>
      <c r="E104" s="73">
        <f>SUM(F104:K104)</f>
        <v>26000</v>
      </c>
      <c r="F104" s="72">
        <v>0</v>
      </c>
      <c r="G104" s="72">
        <v>0</v>
      </c>
      <c r="H104" s="72">
        <f>26000</f>
        <v>26000</v>
      </c>
      <c r="I104" s="72">
        <v>0</v>
      </c>
      <c r="J104" s="72">
        <v>0</v>
      </c>
      <c r="K104" s="72">
        <v>0</v>
      </c>
      <c r="L104" s="406">
        <v>0</v>
      </c>
    </row>
    <row r="105" spans="1:12" ht="15.75" thickBot="1">
      <c r="A105" s="417"/>
      <c r="B105" s="162">
        <v>92195</v>
      </c>
      <c r="C105" s="163" t="s">
        <v>140</v>
      </c>
      <c r="D105" s="87">
        <f t="shared" si="27"/>
        <v>20000</v>
      </c>
      <c r="E105" s="102">
        <f>SUM(F105:K105)</f>
        <v>20000</v>
      </c>
      <c r="F105" s="87">
        <v>0</v>
      </c>
      <c r="G105" s="87">
        <f>20000</f>
        <v>20000</v>
      </c>
      <c r="H105" s="87">
        <v>0</v>
      </c>
      <c r="I105" s="87">
        <v>0</v>
      </c>
      <c r="J105" s="87">
        <v>0</v>
      </c>
      <c r="K105" s="87">
        <v>0</v>
      </c>
      <c r="L105" s="418">
        <v>0</v>
      </c>
    </row>
    <row r="106" spans="1:12" ht="18" thickBot="1" thickTop="1">
      <c r="A106" s="403">
        <v>926</v>
      </c>
      <c r="B106" s="147"/>
      <c r="C106" s="151" t="s">
        <v>291</v>
      </c>
      <c r="D106" s="67">
        <f>E106+L106</f>
        <v>120000</v>
      </c>
      <c r="E106" s="68">
        <f>F106+G106+H106+K106+I106</f>
        <v>120000</v>
      </c>
      <c r="F106" s="67">
        <f aca="true" t="shared" si="33" ref="F106:K106">F107</f>
        <v>0</v>
      </c>
      <c r="G106" s="67">
        <f t="shared" si="33"/>
        <v>120000</v>
      </c>
      <c r="H106" s="67">
        <f t="shared" si="33"/>
        <v>0</v>
      </c>
      <c r="I106" s="67">
        <f t="shared" si="33"/>
        <v>0</v>
      </c>
      <c r="J106" s="67">
        <f t="shared" si="33"/>
        <v>0</v>
      </c>
      <c r="K106" s="67">
        <f t="shared" si="33"/>
        <v>0</v>
      </c>
      <c r="L106" s="404">
        <f>SUM(L107)</f>
        <v>0</v>
      </c>
    </row>
    <row r="107" spans="1:12" ht="16.5" thickBot="1" thickTop="1">
      <c r="A107" s="405"/>
      <c r="B107" s="149">
        <v>92695</v>
      </c>
      <c r="C107" s="150" t="s">
        <v>140</v>
      </c>
      <c r="D107" s="72">
        <f>E107+L107</f>
        <v>120000</v>
      </c>
      <c r="E107" s="73">
        <f>SUM(F107:K107)</f>
        <v>120000</v>
      </c>
      <c r="F107" s="72">
        <v>0</v>
      </c>
      <c r="G107" s="72">
        <f>120000</f>
        <v>120000</v>
      </c>
      <c r="H107" s="72">
        <v>0</v>
      </c>
      <c r="I107" s="72">
        <v>0</v>
      </c>
      <c r="J107" s="72">
        <v>0</v>
      </c>
      <c r="K107" s="72">
        <v>0</v>
      </c>
      <c r="L107" s="406">
        <v>0</v>
      </c>
    </row>
    <row r="108" spans="1:12" ht="17.25" thickBot="1">
      <c r="A108" s="519" t="s">
        <v>173</v>
      </c>
      <c r="B108" s="519"/>
      <c r="C108" s="519"/>
      <c r="D108" s="175">
        <f aca="true" t="shared" si="34" ref="D108:L108">D96+D90+D77+D70+D50+D45+D43+D40+D30+D24+D22+D18+D16+D14+D20+D103+D106+D101</f>
        <v>37538493</v>
      </c>
      <c r="E108" s="176">
        <f t="shared" si="34"/>
        <v>36567593</v>
      </c>
      <c r="F108" s="175">
        <f t="shared" si="34"/>
        <v>21441882</v>
      </c>
      <c r="G108" s="175">
        <f t="shared" si="34"/>
        <v>9284933</v>
      </c>
      <c r="H108" s="175">
        <f t="shared" si="34"/>
        <v>2678302</v>
      </c>
      <c r="I108" s="175">
        <f t="shared" si="34"/>
        <v>1981250</v>
      </c>
      <c r="J108" s="175">
        <f t="shared" si="34"/>
        <v>181226</v>
      </c>
      <c r="K108" s="175">
        <f t="shared" si="34"/>
        <v>1000000</v>
      </c>
      <c r="L108" s="176">
        <f t="shared" si="34"/>
        <v>970900</v>
      </c>
    </row>
    <row r="110" spans="4:5" ht="12.75">
      <c r="D110" s="335"/>
      <c r="E110" s="335"/>
    </row>
    <row r="111" ht="12.75">
      <c r="D111" s="28"/>
    </row>
  </sheetData>
  <sheetProtection/>
  <mergeCells count="17">
    <mergeCell ref="D9:D12"/>
    <mergeCell ref="E9:L9"/>
    <mergeCell ref="E10:K10"/>
    <mergeCell ref="L10:L12"/>
    <mergeCell ref="E11:E12"/>
    <mergeCell ref="J11:J12"/>
    <mergeCell ref="K11:K12"/>
    <mergeCell ref="A108:C108"/>
    <mergeCell ref="A5:L5"/>
    <mergeCell ref="A6:L6"/>
    <mergeCell ref="A7:L7"/>
    <mergeCell ref="A9:A12"/>
    <mergeCell ref="B9:B12"/>
    <mergeCell ref="C9:C12"/>
    <mergeCell ref="F11:G11"/>
    <mergeCell ref="H11:H12"/>
    <mergeCell ref="I11:I12"/>
  </mergeCells>
  <printOptions horizontalCentered="1"/>
  <pageMargins left="0.31496062992125984" right="0.31496062992125984" top="0.7874015748031497" bottom="0.7874015748031497" header="1.4566929133858268" footer="0.5118110236220472"/>
  <pageSetup horizontalDpi="600" verticalDpi="600" orientation="landscape" paperSize="9" scale="67" r:id="rId3"/>
  <rowBreaks count="2" manualBreakCount="2">
    <brk id="33" max="11" man="1"/>
    <brk id="76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G61" sqref="G61"/>
    </sheetView>
  </sheetViews>
  <sheetFormatPr defaultColWidth="9.00390625" defaultRowHeight="12.75"/>
  <cols>
    <col min="1" max="1" width="7.875" style="0" customWidth="1"/>
    <col min="2" max="2" width="9.875" style="0" customWidth="1"/>
    <col min="3" max="3" width="45.75390625" style="0" bestFit="1" customWidth="1"/>
    <col min="4" max="4" width="12.125" style="0" customWidth="1"/>
    <col min="5" max="5" width="13.00390625" style="0" bestFit="1" customWidth="1"/>
    <col min="6" max="6" width="13.00390625" style="0" customWidth="1"/>
    <col min="7" max="7" width="12.00390625" style="0" bestFit="1" customWidth="1"/>
    <col min="8" max="8" width="11.875" style="0" bestFit="1" customWidth="1"/>
    <col min="9" max="9" width="11.875" style="0" customWidth="1"/>
    <col min="10" max="10" width="12.875" style="0" customWidth="1"/>
    <col min="11" max="11" width="11.125" style="0" customWidth="1"/>
    <col min="12" max="12" width="12.625" style="0" customWidth="1"/>
    <col min="13" max="13" width="9.125" style="15" customWidth="1"/>
  </cols>
  <sheetData>
    <row r="1" spans="1:12" ht="15">
      <c r="A1" s="110"/>
      <c r="B1" s="110"/>
      <c r="C1" s="110"/>
      <c r="D1" s="110"/>
      <c r="E1" s="110"/>
      <c r="F1" s="57"/>
      <c r="G1" s="57"/>
      <c r="H1" s="57"/>
      <c r="I1" s="57"/>
      <c r="J1" s="57"/>
      <c r="K1" s="110" t="s">
        <v>174</v>
      </c>
      <c r="L1" s="110"/>
    </row>
    <row r="2" spans="1:12" ht="15">
      <c r="A2" s="110"/>
      <c r="B2" s="110"/>
      <c r="C2" s="110"/>
      <c r="D2" s="110"/>
      <c r="E2" s="110"/>
      <c r="F2" s="57"/>
      <c r="G2" s="57"/>
      <c r="H2" s="57"/>
      <c r="I2" s="57"/>
      <c r="J2" s="57"/>
      <c r="K2" s="29" t="s">
        <v>326</v>
      </c>
      <c r="L2" s="110"/>
    </row>
    <row r="3" spans="1:12" ht="15">
      <c r="A3" s="110"/>
      <c r="B3" s="110"/>
      <c r="C3" s="110"/>
      <c r="D3" s="110"/>
      <c r="E3" s="110"/>
      <c r="F3" s="57"/>
      <c r="G3" s="57"/>
      <c r="H3" s="57"/>
      <c r="I3" s="57"/>
      <c r="J3" s="57"/>
      <c r="K3" s="29" t="s">
        <v>21</v>
      </c>
      <c r="L3" s="110"/>
    </row>
    <row r="4" spans="1:12" ht="15">
      <c r="A4" s="110"/>
      <c r="B4" s="110"/>
      <c r="C4" s="110"/>
      <c r="D4" s="110"/>
      <c r="E4" s="110"/>
      <c r="F4" s="57"/>
      <c r="G4" s="57"/>
      <c r="H4" s="57"/>
      <c r="I4" s="57"/>
      <c r="J4" s="57"/>
      <c r="K4" s="30" t="s">
        <v>327</v>
      </c>
      <c r="L4" s="110"/>
    </row>
    <row r="5" spans="1:12" ht="15">
      <c r="A5" s="110"/>
      <c r="B5" s="110"/>
      <c r="C5" s="110"/>
      <c r="D5" s="110"/>
      <c r="E5" s="110"/>
      <c r="F5" s="57"/>
      <c r="G5" s="57"/>
      <c r="H5" s="57"/>
      <c r="I5" s="57"/>
      <c r="J5" s="57"/>
      <c r="K5" s="110"/>
      <c r="L5" s="110"/>
    </row>
    <row r="6" spans="1:12" ht="15.75" customHeight="1">
      <c r="A6" s="542" t="s">
        <v>126</v>
      </c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521"/>
    </row>
    <row r="7" spans="1:12" ht="15.75" customHeight="1">
      <c r="A7" s="542" t="s">
        <v>303</v>
      </c>
      <c r="B7" s="521"/>
      <c r="C7" s="521"/>
      <c r="D7" s="521"/>
      <c r="E7" s="521"/>
      <c r="F7" s="521"/>
      <c r="G7" s="521"/>
      <c r="H7" s="521"/>
      <c r="I7" s="521"/>
      <c r="J7" s="521"/>
      <c r="K7" s="521"/>
      <c r="L7" s="521"/>
    </row>
    <row r="8" spans="6:12" ht="15.75" customHeight="1" thickBot="1">
      <c r="F8" s="15"/>
      <c r="G8" s="15"/>
      <c r="H8" s="15"/>
      <c r="I8" s="15"/>
      <c r="J8" s="15"/>
      <c r="L8" s="177" t="s">
        <v>31</v>
      </c>
    </row>
    <row r="9" spans="1:12" ht="18" customHeight="1">
      <c r="A9" s="543" t="s">
        <v>0</v>
      </c>
      <c r="B9" s="546" t="s">
        <v>127</v>
      </c>
      <c r="C9" s="549" t="s">
        <v>35</v>
      </c>
      <c r="D9" s="549" t="s">
        <v>128</v>
      </c>
      <c r="E9" s="556" t="s">
        <v>175</v>
      </c>
      <c r="F9" s="557"/>
      <c r="G9" s="557"/>
      <c r="H9" s="557"/>
      <c r="I9" s="557"/>
      <c r="J9" s="557"/>
      <c r="K9" s="557"/>
      <c r="L9" s="558"/>
    </row>
    <row r="10" spans="1:12" ht="16.5" customHeight="1">
      <c r="A10" s="544"/>
      <c r="B10" s="547"/>
      <c r="C10" s="550"/>
      <c r="D10" s="550"/>
      <c r="E10" s="559" t="s">
        <v>296</v>
      </c>
      <c r="F10" s="560"/>
      <c r="G10" s="560"/>
      <c r="H10" s="560"/>
      <c r="I10" s="560"/>
      <c r="J10" s="560"/>
      <c r="K10" s="561"/>
      <c r="L10" s="562" t="s">
        <v>176</v>
      </c>
    </row>
    <row r="11" spans="1:12" ht="14.25">
      <c r="A11" s="544"/>
      <c r="B11" s="547"/>
      <c r="C11" s="550"/>
      <c r="D11" s="550"/>
      <c r="E11" s="565" t="s">
        <v>15</v>
      </c>
      <c r="F11" s="552" t="s">
        <v>294</v>
      </c>
      <c r="G11" s="553"/>
      <c r="H11" s="554" t="s">
        <v>131</v>
      </c>
      <c r="I11" s="530" t="s">
        <v>293</v>
      </c>
      <c r="J11" s="569" t="s">
        <v>289</v>
      </c>
      <c r="K11" s="570" t="s">
        <v>132</v>
      </c>
      <c r="L11" s="563"/>
    </row>
    <row r="12" spans="1:12" ht="89.25" customHeight="1">
      <c r="A12" s="545"/>
      <c r="B12" s="548"/>
      <c r="C12" s="551"/>
      <c r="D12" s="551"/>
      <c r="E12" s="566"/>
      <c r="F12" s="143" t="s">
        <v>177</v>
      </c>
      <c r="G12" s="143" t="s">
        <v>295</v>
      </c>
      <c r="H12" s="555"/>
      <c r="I12" s="531"/>
      <c r="J12" s="555"/>
      <c r="K12" s="571"/>
      <c r="L12" s="564"/>
    </row>
    <row r="13" spans="1:12" ht="13.5" customHeight="1" thickBot="1">
      <c r="A13" s="428">
        <v>1</v>
      </c>
      <c r="B13" s="178">
        <v>2</v>
      </c>
      <c r="C13" s="178">
        <v>3</v>
      </c>
      <c r="D13" s="178">
        <v>4</v>
      </c>
      <c r="E13" s="179">
        <v>5</v>
      </c>
      <c r="F13" s="180">
        <v>6</v>
      </c>
      <c r="G13" s="180">
        <v>7</v>
      </c>
      <c r="H13" s="180">
        <v>8</v>
      </c>
      <c r="I13" s="180">
        <v>9</v>
      </c>
      <c r="J13" s="180">
        <v>10</v>
      </c>
      <c r="K13" s="178">
        <v>11</v>
      </c>
      <c r="L13" s="429">
        <v>12</v>
      </c>
    </row>
    <row r="14" spans="1:12" ht="18" thickBot="1" thickTop="1">
      <c r="A14" s="268" t="s">
        <v>135</v>
      </c>
      <c r="B14" s="182"/>
      <c r="C14" s="183" t="s">
        <v>6</v>
      </c>
      <c r="D14" s="184">
        <f aca="true" t="shared" si="0" ref="D14:D38">E14+L14</f>
        <v>20600</v>
      </c>
      <c r="E14" s="68">
        <f aca="true" t="shared" si="1" ref="E14:L14">SUM(E15:E15)</f>
        <v>20600</v>
      </c>
      <c r="F14" s="67">
        <f t="shared" si="1"/>
        <v>0</v>
      </c>
      <c r="G14" s="67">
        <f t="shared" si="1"/>
        <v>20600</v>
      </c>
      <c r="H14" s="67">
        <f t="shared" si="1"/>
        <v>0</v>
      </c>
      <c r="I14" s="67">
        <f t="shared" si="1"/>
        <v>0</v>
      </c>
      <c r="J14" s="67">
        <f t="shared" si="1"/>
        <v>0</v>
      </c>
      <c r="K14" s="67">
        <f t="shared" si="1"/>
        <v>0</v>
      </c>
      <c r="L14" s="404">
        <f t="shared" si="1"/>
        <v>0</v>
      </c>
    </row>
    <row r="15" spans="1:12" ht="18" thickBot="1" thickTop="1">
      <c r="A15" s="430"/>
      <c r="B15" s="59" t="s">
        <v>178</v>
      </c>
      <c r="C15" s="185" t="s">
        <v>137</v>
      </c>
      <c r="D15" s="186">
        <f t="shared" si="0"/>
        <v>20600</v>
      </c>
      <c r="E15" s="73">
        <f aca="true" t="shared" si="2" ref="E15:E43">SUM(F15:K15)</f>
        <v>20600</v>
      </c>
      <c r="F15" s="72">
        <v>0</v>
      </c>
      <c r="G15" s="72">
        <f>20600</f>
        <v>20600</v>
      </c>
      <c r="H15" s="72">
        <v>0</v>
      </c>
      <c r="I15" s="72">
        <v>0</v>
      </c>
      <c r="J15" s="186">
        <v>0</v>
      </c>
      <c r="K15" s="186">
        <v>0</v>
      </c>
      <c r="L15" s="406">
        <v>0</v>
      </c>
    </row>
    <row r="16" spans="1:12" ht="18" thickBot="1" thickTop="1">
      <c r="A16" s="268">
        <v>600</v>
      </c>
      <c r="B16" s="181"/>
      <c r="C16" s="183" t="s">
        <v>7</v>
      </c>
      <c r="D16" s="184">
        <f t="shared" si="0"/>
        <v>2715100</v>
      </c>
      <c r="E16" s="68">
        <f t="shared" si="2"/>
        <v>2015100</v>
      </c>
      <c r="F16" s="67">
        <f aca="true" t="shared" si="3" ref="F16:L16">F17</f>
        <v>600100</v>
      </c>
      <c r="G16" s="67">
        <f t="shared" si="3"/>
        <v>1400000</v>
      </c>
      <c r="H16" s="67">
        <f t="shared" si="3"/>
        <v>0</v>
      </c>
      <c r="I16" s="67">
        <f>I17</f>
        <v>15000</v>
      </c>
      <c r="J16" s="67">
        <f t="shared" si="3"/>
        <v>0</v>
      </c>
      <c r="K16" s="67">
        <f t="shared" si="3"/>
        <v>0</v>
      </c>
      <c r="L16" s="404">
        <f t="shared" si="3"/>
        <v>700000</v>
      </c>
    </row>
    <row r="17" spans="1:12" ht="15.75" customHeight="1" thickBot="1" thickTop="1">
      <c r="A17" s="279"/>
      <c r="B17" s="58">
        <v>60014</v>
      </c>
      <c r="C17" s="187" t="s">
        <v>138</v>
      </c>
      <c r="D17" s="93">
        <f t="shared" si="0"/>
        <v>2715100</v>
      </c>
      <c r="E17" s="156">
        <f t="shared" si="2"/>
        <v>2015100</v>
      </c>
      <c r="F17" s="93">
        <f>498000+99000+3100</f>
        <v>600100</v>
      </c>
      <c r="G17" s="93">
        <f>1400000</f>
        <v>1400000</v>
      </c>
      <c r="H17" s="93">
        <v>0</v>
      </c>
      <c r="I17" s="93">
        <f>15000</f>
        <v>15000</v>
      </c>
      <c r="J17" s="93">
        <v>0</v>
      </c>
      <c r="K17" s="93">
        <v>0</v>
      </c>
      <c r="L17" s="413">
        <f>700000</f>
        <v>700000</v>
      </c>
    </row>
    <row r="18" spans="1:12" ht="18" thickBot="1" thickTop="1">
      <c r="A18" s="268">
        <v>630</v>
      </c>
      <c r="B18" s="181"/>
      <c r="C18" s="183" t="s">
        <v>139</v>
      </c>
      <c r="D18" s="184">
        <f t="shared" si="0"/>
        <v>20000</v>
      </c>
      <c r="E18" s="68">
        <f t="shared" si="2"/>
        <v>20000</v>
      </c>
      <c r="F18" s="67">
        <f aca="true" t="shared" si="4" ref="F18:L18">F19</f>
        <v>0</v>
      </c>
      <c r="G18" s="67">
        <f t="shared" si="4"/>
        <v>20000</v>
      </c>
      <c r="H18" s="67">
        <f t="shared" si="4"/>
        <v>0</v>
      </c>
      <c r="I18" s="67">
        <f t="shared" si="4"/>
        <v>0</v>
      </c>
      <c r="J18" s="184">
        <f t="shared" si="4"/>
        <v>0</v>
      </c>
      <c r="K18" s="184">
        <f t="shared" si="4"/>
        <v>0</v>
      </c>
      <c r="L18" s="404">
        <f t="shared" si="4"/>
        <v>0</v>
      </c>
    </row>
    <row r="19" spans="1:12" ht="16.5" thickBot="1" thickTop="1">
      <c r="A19" s="279"/>
      <c r="B19" s="58">
        <v>63095</v>
      </c>
      <c r="C19" s="187" t="s">
        <v>140</v>
      </c>
      <c r="D19" s="93">
        <f t="shared" si="0"/>
        <v>20000</v>
      </c>
      <c r="E19" s="156">
        <f t="shared" si="2"/>
        <v>20000</v>
      </c>
      <c r="F19" s="93">
        <v>0</v>
      </c>
      <c r="G19" s="93">
        <f>20000</f>
        <v>20000</v>
      </c>
      <c r="H19" s="93">
        <v>0</v>
      </c>
      <c r="I19" s="93">
        <v>0</v>
      </c>
      <c r="J19" s="93">
        <v>0</v>
      </c>
      <c r="K19" s="93">
        <v>0</v>
      </c>
      <c r="L19" s="413">
        <v>0</v>
      </c>
    </row>
    <row r="20" spans="1:12" ht="18" thickBot="1" thickTop="1">
      <c r="A20" s="403">
        <v>700</v>
      </c>
      <c r="B20" s="147"/>
      <c r="C20" s="151" t="s">
        <v>8</v>
      </c>
      <c r="D20" s="67">
        <f t="shared" si="0"/>
        <v>30000</v>
      </c>
      <c r="E20" s="68">
        <f t="shared" si="2"/>
        <v>30000</v>
      </c>
      <c r="F20" s="67">
        <v>0</v>
      </c>
      <c r="G20" s="67">
        <f>G21</f>
        <v>30000</v>
      </c>
      <c r="H20" s="67">
        <v>0</v>
      </c>
      <c r="I20" s="67">
        <v>0</v>
      </c>
      <c r="J20" s="67">
        <v>0</v>
      </c>
      <c r="K20" s="67">
        <v>0</v>
      </c>
      <c r="L20" s="404">
        <v>0</v>
      </c>
    </row>
    <row r="21" spans="1:12" ht="16.5" thickBot="1" thickTop="1">
      <c r="A21" s="412"/>
      <c r="B21" s="154">
        <v>70005</v>
      </c>
      <c r="C21" s="155" t="s">
        <v>49</v>
      </c>
      <c r="D21" s="93">
        <f t="shared" si="0"/>
        <v>30000</v>
      </c>
      <c r="E21" s="156">
        <f t="shared" si="2"/>
        <v>30000</v>
      </c>
      <c r="F21" s="93">
        <v>0</v>
      </c>
      <c r="G21" s="93">
        <f>40000-10000</f>
        <v>30000</v>
      </c>
      <c r="H21" s="93">
        <v>0</v>
      </c>
      <c r="I21" s="93">
        <v>0</v>
      </c>
      <c r="J21" s="93">
        <v>0</v>
      </c>
      <c r="K21" s="93">
        <v>0</v>
      </c>
      <c r="L21" s="413">
        <v>0</v>
      </c>
    </row>
    <row r="22" spans="1:12" ht="27.75" customHeight="1" thickBot="1" thickTop="1">
      <c r="A22" s="403">
        <v>710</v>
      </c>
      <c r="B22" s="147"/>
      <c r="C22" s="151" t="s">
        <v>9</v>
      </c>
      <c r="D22" s="67">
        <f t="shared" si="0"/>
        <v>451500</v>
      </c>
      <c r="E22" s="68">
        <f t="shared" si="2"/>
        <v>446500</v>
      </c>
      <c r="F22" s="67">
        <f aca="true" t="shared" si="5" ref="F22:L22">SUM(F24+F23)</f>
        <v>413116</v>
      </c>
      <c r="G22" s="67">
        <f t="shared" si="5"/>
        <v>32784</v>
      </c>
      <c r="H22" s="67">
        <f t="shared" si="5"/>
        <v>0</v>
      </c>
      <c r="I22" s="67">
        <f>SUM(I24+I23)</f>
        <v>600</v>
      </c>
      <c r="J22" s="67">
        <f t="shared" si="5"/>
        <v>0</v>
      </c>
      <c r="K22" s="67">
        <f t="shared" si="5"/>
        <v>0</v>
      </c>
      <c r="L22" s="404">
        <f t="shared" si="5"/>
        <v>5000</v>
      </c>
    </row>
    <row r="23" spans="1:12" ht="30.75" thickTop="1">
      <c r="A23" s="405"/>
      <c r="B23" s="149">
        <v>71012</v>
      </c>
      <c r="C23" s="150" t="s">
        <v>141</v>
      </c>
      <c r="D23" s="72">
        <f t="shared" si="0"/>
        <v>450000</v>
      </c>
      <c r="E23" s="73">
        <f t="shared" si="2"/>
        <v>445000</v>
      </c>
      <c r="F23" s="72">
        <f>352496+60620</f>
        <v>413116</v>
      </c>
      <c r="G23" s="72">
        <f>104284-73000</f>
        <v>31284</v>
      </c>
      <c r="H23" s="72">
        <f>0</f>
        <v>0</v>
      </c>
      <c r="I23" s="72">
        <f>600</f>
        <v>600</v>
      </c>
      <c r="J23" s="72">
        <v>0</v>
      </c>
      <c r="K23" s="72">
        <v>0</v>
      </c>
      <c r="L23" s="406">
        <f>5000</f>
        <v>5000</v>
      </c>
    </row>
    <row r="24" spans="1:12" ht="15.75" thickBot="1">
      <c r="A24" s="405"/>
      <c r="B24" s="149">
        <v>71095</v>
      </c>
      <c r="C24" s="150" t="s">
        <v>140</v>
      </c>
      <c r="D24" s="72">
        <f t="shared" si="0"/>
        <v>1500</v>
      </c>
      <c r="E24" s="73">
        <f t="shared" si="2"/>
        <v>1500</v>
      </c>
      <c r="F24" s="72">
        <v>0</v>
      </c>
      <c r="G24" s="72">
        <f>1500</f>
        <v>1500</v>
      </c>
      <c r="H24" s="72">
        <v>0</v>
      </c>
      <c r="I24" s="72">
        <v>0</v>
      </c>
      <c r="J24" s="72">
        <v>0</v>
      </c>
      <c r="K24" s="72">
        <v>0</v>
      </c>
      <c r="L24" s="406">
        <v>0</v>
      </c>
    </row>
    <row r="25" spans="1:12" ht="18" thickBot="1" thickTop="1">
      <c r="A25" s="403">
        <v>750</v>
      </c>
      <c r="B25" s="147"/>
      <c r="C25" s="151" t="s">
        <v>55</v>
      </c>
      <c r="D25" s="67">
        <f>E25+L25</f>
        <v>4759642</v>
      </c>
      <c r="E25" s="68">
        <f t="shared" si="2"/>
        <v>4709642</v>
      </c>
      <c r="F25" s="67">
        <f aca="true" t="shared" si="6" ref="F25:L25">SUM(F26:F30)</f>
        <v>3111854</v>
      </c>
      <c r="G25" s="67">
        <f t="shared" si="6"/>
        <v>1308500</v>
      </c>
      <c r="H25" s="67">
        <f t="shared" si="6"/>
        <v>20000</v>
      </c>
      <c r="I25" s="67">
        <f t="shared" si="6"/>
        <v>175500</v>
      </c>
      <c r="J25" s="67">
        <f t="shared" si="6"/>
        <v>93788</v>
      </c>
      <c r="K25" s="67">
        <f t="shared" si="6"/>
        <v>0</v>
      </c>
      <c r="L25" s="404">
        <f t="shared" si="6"/>
        <v>50000</v>
      </c>
    </row>
    <row r="26" spans="1:12" ht="15.75" thickTop="1">
      <c r="A26" s="405"/>
      <c r="B26" s="149">
        <v>75019</v>
      </c>
      <c r="C26" s="188" t="s">
        <v>144</v>
      </c>
      <c r="D26" s="72">
        <f t="shared" si="0"/>
        <v>177000</v>
      </c>
      <c r="E26" s="73">
        <f t="shared" si="2"/>
        <v>177000</v>
      </c>
      <c r="F26" s="72">
        <v>0</v>
      </c>
      <c r="G26" s="72">
        <f>7000</f>
        <v>7000</v>
      </c>
      <c r="H26" s="72">
        <v>0</v>
      </c>
      <c r="I26" s="72">
        <f>170000</f>
        <v>170000</v>
      </c>
      <c r="J26" s="72">
        <v>0</v>
      </c>
      <c r="K26" s="72">
        <v>0</v>
      </c>
      <c r="L26" s="431">
        <v>0</v>
      </c>
    </row>
    <row r="27" spans="1:12" s="15" customFormat="1" ht="15">
      <c r="A27" s="414"/>
      <c r="B27" s="157">
        <v>75018</v>
      </c>
      <c r="C27" s="158" t="s">
        <v>312</v>
      </c>
      <c r="D27" s="77">
        <f t="shared" si="0"/>
        <v>93788</v>
      </c>
      <c r="E27" s="73">
        <f t="shared" si="2"/>
        <v>93788</v>
      </c>
      <c r="F27" s="77">
        <v>0</v>
      </c>
      <c r="G27" s="77"/>
      <c r="H27" s="77">
        <v>0</v>
      </c>
      <c r="I27" s="77"/>
      <c r="J27" s="77">
        <v>93788</v>
      </c>
      <c r="K27" s="77">
        <v>0</v>
      </c>
      <c r="L27" s="415">
        <v>0</v>
      </c>
    </row>
    <row r="28" spans="1:12" s="15" customFormat="1" ht="15">
      <c r="A28" s="414"/>
      <c r="B28" s="157">
        <v>75020</v>
      </c>
      <c r="C28" s="438" t="s">
        <v>57</v>
      </c>
      <c r="D28" s="77">
        <f t="shared" si="0"/>
        <v>4428854</v>
      </c>
      <c r="E28" s="92">
        <f t="shared" si="2"/>
        <v>4378854</v>
      </c>
      <c r="F28" s="77">
        <f>2647260+464594</f>
        <v>3111854</v>
      </c>
      <c r="G28" s="77">
        <f>1257500+4000</f>
        <v>1261500</v>
      </c>
      <c r="H28" s="77">
        <v>0</v>
      </c>
      <c r="I28" s="77">
        <f>5500</f>
        <v>5500</v>
      </c>
      <c r="J28" s="77">
        <v>0</v>
      </c>
      <c r="K28" s="77">
        <v>0</v>
      </c>
      <c r="L28" s="415">
        <f>50000</f>
        <v>50000</v>
      </c>
    </row>
    <row r="29" spans="1:12" ht="15">
      <c r="A29" s="121"/>
      <c r="B29" s="122">
        <v>75075</v>
      </c>
      <c r="C29" s="138" t="s">
        <v>145</v>
      </c>
      <c r="D29" s="77">
        <f t="shared" si="0"/>
        <v>40000</v>
      </c>
      <c r="E29" s="92">
        <f t="shared" si="2"/>
        <v>40000</v>
      </c>
      <c r="F29" s="77">
        <v>0</v>
      </c>
      <c r="G29" s="77">
        <f>60000-20000</f>
        <v>40000</v>
      </c>
      <c r="H29" s="77">
        <v>0</v>
      </c>
      <c r="I29" s="77">
        <v>0</v>
      </c>
      <c r="J29" s="77">
        <v>0</v>
      </c>
      <c r="K29" s="77">
        <v>0</v>
      </c>
      <c r="L29" s="415">
        <v>0</v>
      </c>
    </row>
    <row r="30" spans="1:12" ht="15.75" thickBot="1">
      <c r="A30" s="432"/>
      <c r="B30" s="375">
        <v>75095</v>
      </c>
      <c r="C30" s="376" t="s">
        <v>270</v>
      </c>
      <c r="D30" s="90">
        <f>E30+L30</f>
        <v>20000</v>
      </c>
      <c r="E30" s="91">
        <f t="shared" si="2"/>
        <v>20000</v>
      </c>
      <c r="F30" s="90">
        <f>0</f>
        <v>0</v>
      </c>
      <c r="G30" s="90">
        <f>0</f>
        <v>0</v>
      </c>
      <c r="H30" s="90">
        <f>20000</f>
        <v>20000</v>
      </c>
      <c r="I30" s="90">
        <v>0</v>
      </c>
      <c r="J30" s="90">
        <f>SUM(J31)</f>
        <v>0</v>
      </c>
      <c r="K30" s="90">
        <f>SUM(K31)</f>
        <v>0</v>
      </c>
      <c r="L30" s="433">
        <f>SUM(L31)</f>
        <v>0</v>
      </c>
    </row>
    <row r="31" spans="1:12" ht="34.5" thickBot="1" thickTop="1">
      <c r="A31" s="434">
        <v>754</v>
      </c>
      <c r="B31" s="189"/>
      <c r="C31" s="190" t="s">
        <v>10</v>
      </c>
      <c r="D31" s="97">
        <f t="shared" si="0"/>
        <v>70000</v>
      </c>
      <c r="E31" s="98">
        <f t="shared" si="2"/>
        <v>70000</v>
      </c>
      <c r="F31" s="97">
        <f aca="true" t="shared" si="7" ref="F31:L31">F32</f>
        <v>0</v>
      </c>
      <c r="G31" s="97">
        <f t="shared" si="7"/>
        <v>70000</v>
      </c>
      <c r="H31" s="97">
        <f t="shared" si="7"/>
        <v>0</v>
      </c>
      <c r="I31" s="97">
        <f t="shared" si="7"/>
        <v>0</v>
      </c>
      <c r="J31" s="97">
        <f t="shared" si="7"/>
        <v>0</v>
      </c>
      <c r="K31" s="97">
        <f t="shared" si="7"/>
        <v>0</v>
      </c>
      <c r="L31" s="411">
        <f t="shared" si="7"/>
        <v>0</v>
      </c>
    </row>
    <row r="32" spans="1:12" ht="16.5" thickBot="1" thickTop="1">
      <c r="A32" s="435"/>
      <c r="B32" s="191">
        <v>75495</v>
      </c>
      <c r="C32" s="192" t="s">
        <v>140</v>
      </c>
      <c r="D32" s="193">
        <f t="shared" si="0"/>
        <v>70000</v>
      </c>
      <c r="E32" s="194">
        <f t="shared" si="2"/>
        <v>70000</v>
      </c>
      <c r="F32" s="193">
        <v>0</v>
      </c>
      <c r="G32" s="195">
        <f>70000</f>
        <v>70000</v>
      </c>
      <c r="H32" s="195">
        <v>0</v>
      </c>
      <c r="I32" s="195">
        <v>0</v>
      </c>
      <c r="J32" s="193">
        <v>0</v>
      </c>
      <c r="K32" s="193">
        <v>0</v>
      </c>
      <c r="L32" s="436">
        <f>40000-40000</f>
        <v>0</v>
      </c>
    </row>
    <row r="33" spans="1:12" ht="18" thickBot="1" thickTop="1">
      <c r="A33" s="268">
        <v>757</v>
      </c>
      <c r="B33" s="181"/>
      <c r="C33" s="196" t="s">
        <v>11</v>
      </c>
      <c r="D33" s="67">
        <f t="shared" si="0"/>
        <v>1000000</v>
      </c>
      <c r="E33" s="68">
        <f t="shared" si="2"/>
        <v>1000000</v>
      </c>
      <c r="F33" s="67">
        <f aca="true" t="shared" si="8" ref="F33:L33">SUM(F34)</f>
        <v>0</v>
      </c>
      <c r="G33" s="67">
        <f t="shared" si="8"/>
        <v>0</v>
      </c>
      <c r="H33" s="67">
        <f t="shared" si="8"/>
        <v>0</v>
      </c>
      <c r="I33" s="67">
        <f t="shared" si="8"/>
        <v>0</v>
      </c>
      <c r="J33" s="67">
        <f t="shared" si="8"/>
        <v>0</v>
      </c>
      <c r="K33" s="67">
        <f t="shared" si="8"/>
        <v>1000000</v>
      </c>
      <c r="L33" s="404">
        <f t="shared" si="8"/>
        <v>0</v>
      </c>
    </row>
    <row r="34" spans="1:12" ht="30" thickBot="1" thickTop="1">
      <c r="A34" s="303"/>
      <c r="B34" s="197">
        <v>75702</v>
      </c>
      <c r="C34" s="198" t="s">
        <v>245</v>
      </c>
      <c r="D34" s="195">
        <f t="shared" si="0"/>
        <v>1000000</v>
      </c>
      <c r="E34" s="199">
        <f t="shared" si="2"/>
        <v>1000000</v>
      </c>
      <c r="F34" s="195">
        <v>0</v>
      </c>
      <c r="G34" s="195">
        <v>0</v>
      </c>
      <c r="H34" s="195">
        <v>0</v>
      </c>
      <c r="I34" s="195">
        <v>0</v>
      </c>
      <c r="J34" s="195">
        <v>0</v>
      </c>
      <c r="K34" s="195">
        <v>1000000</v>
      </c>
      <c r="L34" s="409">
        <v>0</v>
      </c>
    </row>
    <row r="35" spans="1:12" ht="18" thickBot="1" thickTop="1">
      <c r="A35" s="410">
        <v>758</v>
      </c>
      <c r="B35" s="152"/>
      <c r="C35" s="153" t="s">
        <v>12</v>
      </c>
      <c r="D35" s="97">
        <f t="shared" si="0"/>
        <v>106384</v>
      </c>
      <c r="E35" s="98">
        <f t="shared" si="2"/>
        <v>106384</v>
      </c>
      <c r="F35" s="97">
        <f>SUM(F36)</f>
        <v>0</v>
      </c>
      <c r="G35" s="97">
        <f aca="true" t="shared" si="9" ref="G35:L35">G36</f>
        <v>106384</v>
      </c>
      <c r="H35" s="97">
        <f t="shared" si="9"/>
        <v>0</v>
      </c>
      <c r="I35" s="97">
        <f t="shared" si="9"/>
        <v>0</v>
      </c>
      <c r="J35" s="97">
        <f t="shared" si="9"/>
        <v>0</v>
      </c>
      <c r="K35" s="97">
        <f t="shared" si="9"/>
        <v>0</v>
      </c>
      <c r="L35" s="411">
        <f t="shared" si="9"/>
        <v>0</v>
      </c>
    </row>
    <row r="36" spans="1:12" ht="15.75" thickTop="1">
      <c r="A36" s="412"/>
      <c r="B36" s="154">
        <v>75818</v>
      </c>
      <c r="C36" s="155" t="s">
        <v>148</v>
      </c>
      <c r="D36" s="93">
        <f t="shared" si="0"/>
        <v>106384</v>
      </c>
      <c r="E36" s="156">
        <f t="shared" si="2"/>
        <v>106384</v>
      </c>
      <c r="F36" s="93">
        <f aca="true" t="shared" si="10" ref="F36:L36">SUM(F37+F38)</f>
        <v>0</v>
      </c>
      <c r="G36" s="93">
        <f t="shared" si="10"/>
        <v>106384</v>
      </c>
      <c r="H36" s="93">
        <f t="shared" si="10"/>
        <v>0</v>
      </c>
      <c r="I36" s="93">
        <f>SUM(I37+I38)</f>
        <v>0</v>
      </c>
      <c r="J36" s="93">
        <f t="shared" si="10"/>
        <v>0</v>
      </c>
      <c r="K36" s="93">
        <f t="shared" si="10"/>
        <v>0</v>
      </c>
      <c r="L36" s="413">
        <f t="shared" si="10"/>
        <v>0</v>
      </c>
    </row>
    <row r="37" spans="1:12" ht="15">
      <c r="A37" s="414"/>
      <c r="B37" s="157"/>
      <c r="C37" s="94" t="s">
        <v>179</v>
      </c>
      <c r="D37" s="77">
        <f t="shared" si="0"/>
        <v>36384</v>
      </c>
      <c r="E37" s="92">
        <f t="shared" si="2"/>
        <v>36384</v>
      </c>
      <c r="F37" s="77">
        <v>0</v>
      </c>
      <c r="G37" s="77">
        <v>36384</v>
      </c>
      <c r="H37" s="77">
        <v>0</v>
      </c>
      <c r="I37" s="77">
        <v>0</v>
      </c>
      <c r="J37" s="77">
        <v>0</v>
      </c>
      <c r="K37" s="77">
        <v>0</v>
      </c>
      <c r="L37" s="415"/>
    </row>
    <row r="38" spans="1:12" ht="15">
      <c r="A38" s="412"/>
      <c r="B38" s="154"/>
      <c r="C38" s="169" t="s">
        <v>149</v>
      </c>
      <c r="D38" s="93">
        <f t="shared" si="0"/>
        <v>70000</v>
      </c>
      <c r="E38" s="156">
        <f t="shared" si="2"/>
        <v>70000</v>
      </c>
      <c r="F38" s="93">
        <v>0</v>
      </c>
      <c r="G38" s="93">
        <v>70000</v>
      </c>
      <c r="H38" s="93">
        <f>SUM(H39)</f>
        <v>0</v>
      </c>
      <c r="I38" s="93">
        <f>SUM(I39)</f>
        <v>0</v>
      </c>
      <c r="J38" s="93">
        <f>SUM(J39)</f>
        <v>0</v>
      </c>
      <c r="K38" s="93">
        <f>SUM(K39)</f>
        <v>0</v>
      </c>
      <c r="L38" s="415">
        <v>0</v>
      </c>
    </row>
    <row r="39" spans="1:12" ht="15.75" thickBot="1">
      <c r="A39" s="414"/>
      <c r="B39" s="157"/>
      <c r="C39" s="170" t="s">
        <v>316</v>
      </c>
      <c r="D39" s="77">
        <f>E39</f>
        <v>70000</v>
      </c>
      <c r="E39" s="92">
        <f t="shared" si="2"/>
        <v>70000</v>
      </c>
      <c r="F39" s="77">
        <v>0</v>
      </c>
      <c r="G39" s="77">
        <v>70000</v>
      </c>
      <c r="H39" s="77">
        <v>0</v>
      </c>
      <c r="I39" s="77">
        <v>0</v>
      </c>
      <c r="J39" s="77">
        <v>0</v>
      </c>
      <c r="K39" s="77">
        <v>0</v>
      </c>
      <c r="L39" s="415">
        <v>0</v>
      </c>
    </row>
    <row r="40" spans="1:12" ht="18" thickBot="1" thickTop="1">
      <c r="A40" s="268">
        <v>801</v>
      </c>
      <c r="B40" s="181"/>
      <c r="C40" s="183" t="s">
        <v>82</v>
      </c>
      <c r="D40" s="67">
        <f aca="true" t="shared" si="11" ref="D40:D49">E40+L40</f>
        <v>11107411</v>
      </c>
      <c r="E40" s="68">
        <f t="shared" si="2"/>
        <v>11046011</v>
      </c>
      <c r="F40" s="67">
        <f aca="true" t="shared" si="12" ref="F40:L40">F41+F42+F43+F50+F53+F55+F58+F59</f>
        <v>7316558</v>
      </c>
      <c r="G40" s="67">
        <f t="shared" si="12"/>
        <v>1780591</v>
      </c>
      <c r="H40" s="67">
        <f t="shared" si="12"/>
        <v>1945362</v>
      </c>
      <c r="I40" s="67">
        <f t="shared" si="12"/>
        <v>3500</v>
      </c>
      <c r="J40" s="67">
        <f t="shared" si="12"/>
        <v>0</v>
      </c>
      <c r="K40" s="67">
        <f t="shared" si="12"/>
        <v>0</v>
      </c>
      <c r="L40" s="404">
        <f t="shared" si="12"/>
        <v>61400</v>
      </c>
    </row>
    <row r="41" spans="1:12" ht="15.75" thickTop="1">
      <c r="A41" s="118"/>
      <c r="B41" s="59">
        <v>80102</v>
      </c>
      <c r="C41" s="185" t="s">
        <v>83</v>
      </c>
      <c r="D41" s="72">
        <f t="shared" si="11"/>
        <v>213566</v>
      </c>
      <c r="E41" s="73">
        <f t="shared" si="2"/>
        <v>213566</v>
      </c>
      <c r="F41" s="72">
        <f>160827+28493</f>
        <v>189320</v>
      </c>
      <c r="G41" s="72">
        <f>24246</f>
        <v>24246</v>
      </c>
      <c r="H41" s="72">
        <v>0</v>
      </c>
      <c r="I41" s="72">
        <v>0</v>
      </c>
      <c r="J41" s="72">
        <v>0</v>
      </c>
      <c r="K41" s="72">
        <v>0</v>
      </c>
      <c r="L41" s="406">
        <v>0</v>
      </c>
    </row>
    <row r="42" spans="1:12" ht="15">
      <c r="A42" s="121"/>
      <c r="B42" s="122">
        <v>80111</v>
      </c>
      <c r="C42" s="200" t="s">
        <v>84</v>
      </c>
      <c r="D42" s="77">
        <f t="shared" si="11"/>
        <v>587796</v>
      </c>
      <c r="E42" s="92">
        <f t="shared" si="2"/>
        <v>587796</v>
      </c>
      <c r="F42" s="77">
        <f>466151+83194</f>
        <v>549345</v>
      </c>
      <c r="G42" s="77">
        <f>38451</f>
        <v>38451</v>
      </c>
      <c r="H42" s="77">
        <v>0</v>
      </c>
      <c r="I42" s="77">
        <v>0</v>
      </c>
      <c r="J42" s="77">
        <v>0</v>
      </c>
      <c r="K42" s="77">
        <v>0</v>
      </c>
      <c r="L42" s="415">
        <v>0</v>
      </c>
    </row>
    <row r="43" spans="1:12" ht="14.25" customHeight="1">
      <c r="A43" s="121"/>
      <c r="B43" s="122">
        <v>80120</v>
      </c>
      <c r="C43" s="200" t="s">
        <v>85</v>
      </c>
      <c r="D43" s="77">
        <f>E43+L43</f>
        <v>2590788</v>
      </c>
      <c r="E43" s="92">
        <f t="shared" si="2"/>
        <v>2590788</v>
      </c>
      <c r="F43" s="77">
        <f aca="true" t="shared" si="13" ref="F43:K43">SUM(F44:F49)</f>
        <v>2138058</v>
      </c>
      <c r="G43" s="77">
        <f t="shared" si="13"/>
        <v>368274</v>
      </c>
      <c r="H43" s="77">
        <f t="shared" si="13"/>
        <v>84456</v>
      </c>
      <c r="I43" s="77">
        <f t="shared" si="13"/>
        <v>0</v>
      </c>
      <c r="J43" s="77">
        <f t="shared" si="13"/>
        <v>0</v>
      </c>
      <c r="K43" s="77">
        <f t="shared" si="13"/>
        <v>0</v>
      </c>
      <c r="L43" s="415">
        <f>SUM(L44:L47)</f>
        <v>0</v>
      </c>
    </row>
    <row r="44" spans="1:12" ht="15" hidden="1">
      <c r="A44" s="416"/>
      <c r="B44" s="159"/>
      <c r="C44" s="160" t="s">
        <v>180</v>
      </c>
      <c r="D44" s="161">
        <f>E44+L44</f>
        <v>2334869</v>
      </c>
      <c r="E44" s="92">
        <f aca="true" t="shared" si="14" ref="E44:E75">SUM(F44:K44)</f>
        <v>2334869</v>
      </c>
      <c r="F44" s="77">
        <f>1730200+271295</f>
        <v>2001495</v>
      </c>
      <c r="G44" s="77">
        <f>333374</f>
        <v>333374</v>
      </c>
      <c r="H44" s="77">
        <v>0</v>
      </c>
      <c r="I44" s="77">
        <v>0</v>
      </c>
      <c r="J44" s="77">
        <v>0</v>
      </c>
      <c r="K44" s="77">
        <v>0</v>
      </c>
      <c r="L44" s="415">
        <f>0</f>
        <v>0</v>
      </c>
    </row>
    <row r="45" spans="1:12" ht="15" hidden="1">
      <c r="A45" s="416"/>
      <c r="B45" s="159"/>
      <c r="C45" s="160" t="s">
        <v>280</v>
      </c>
      <c r="D45" s="161">
        <f t="shared" si="11"/>
        <v>68201</v>
      </c>
      <c r="E45" s="92">
        <f t="shared" si="14"/>
        <v>68201</v>
      </c>
      <c r="F45" s="77">
        <f>43551+4650</f>
        <v>48201</v>
      </c>
      <c r="G45" s="77">
        <f>20000</f>
        <v>20000</v>
      </c>
      <c r="H45" s="77">
        <v>0</v>
      </c>
      <c r="I45" s="77">
        <v>0</v>
      </c>
      <c r="J45" s="77">
        <v>0</v>
      </c>
      <c r="K45" s="77">
        <v>0</v>
      </c>
      <c r="L45" s="415">
        <v>0</v>
      </c>
    </row>
    <row r="46" spans="1:12" ht="30" hidden="1">
      <c r="A46" s="416"/>
      <c r="B46" s="159"/>
      <c r="C46" s="160" t="s">
        <v>264</v>
      </c>
      <c r="D46" s="161">
        <f t="shared" si="11"/>
        <v>46080</v>
      </c>
      <c r="E46" s="92">
        <f t="shared" si="14"/>
        <v>46080</v>
      </c>
      <c r="F46" s="77">
        <v>0</v>
      </c>
      <c r="G46" s="77">
        <v>0</v>
      </c>
      <c r="H46" s="77">
        <f>46080</f>
        <v>46080</v>
      </c>
      <c r="I46" s="77">
        <v>0</v>
      </c>
      <c r="J46" s="77">
        <v>0</v>
      </c>
      <c r="K46" s="77">
        <v>0</v>
      </c>
      <c r="L46" s="415">
        <v>0</v>
      </c>
    </row>
    <row r="47" spans="1:12" ht="15" hidden="1">
      <c r="A47" s="416"/>
      <c r="B47" s="159"/>
      <c r="C47" s="160" t="s">
        <v>181</v>
      </c>
      <c r="D47" s="161">
        <f t="shared" si="11"/>
        <v>9360</v>
      </c>
      <c r="E47" s="92">
        <f t="shared" si="14"/>
        <v>9360</v>
      </c>
      <c r="F47" s="77">
        <v>0</v>
      </c>
      <c r="G47" s="77">
        <v>0</v>
      </c>
      <c r="H47" s="77">
        <f>9360</f>
        <v>9360</v>
      </c>
      <c r="I47" s="77">
        <v>0</v>
      </c>
      <c r="J47" s="77">
        <v>0</v>
      </c>
      <c r="K47" s="77">
        <v>0</v>
      </c>
      <c r="L47" s="415">
        <v>0</v>
      </c>
    </row>
    <row r="48" spans="1:12" ht="15" hidden="1">
      <c r="A48" s="416"/>
      <c r="B48" s="159"/>
      <c r="C48" s="160" t="s">
        <v>182</v>
      </c>
      <c r="D48" s="161">
        <f t="shared" si="11"/>
        <v>103262</v>
      </c>
      <c r="E48" s="92">
        <f t="shared" si="14"/>
        <v>103262</v>
      </c>
      <c r="F48" s="77">
        <f>75016+13346</f>
        <v>88362</v>
      </c>
      <c r="G48" s="77">
        <f>14900</f>
        <v>14900</v>
      </c>
      <c r="H48" s="77">
        <v>0</v>
      </c>
      <c r="I48" s="77">
        <v>0</v>
      </c>
      <c r="J48" s="77">
        <v>0</v>
      </c>
      <c r="K48" s="77">
        <v>0</v>
      </c>
      <c r="L48" s="415">
        <v>0</v>
      </c>
    </row>
    <row r="49" spans="1:12" ht="15" hidden="1">
      <c r="A49" s="416"/>
      <c r="B49" s="159"/>
      <c r="C49" s="160" t="s">
        <v>274</v>
      </c>
      <c r="D49" s="161">
        <f t="shared" si="11"/>
        <v>29016</v>
      </c>
      <c r="E49" s="92">
        <f t="shared" si="14"/>
        <v>29016</v>
      </c>
      <c r="F49" s="77">
        <v>0</v>
      </c>
      <c r="G49" s="77">
        <v>0</v>
      </c>
      <c r="H49" s="77">
        <f>29016</f>
        <v>29016</v>
      </c>
      <c r="I49" s="77">
        <v>0</v>
      </c>
      <c r="J49" s="77">
        <v>0</v>
      </c>
      <c r="K49" s="77">
        <v>0</v>
      </c>
      <c r="L49" s="415">
        <v>0</v>
      </c>
    </row>
    <row r="50" spans="1:12" ht="15">
      <c r="A50" s="414"/>
      <c r="B50" s="122">
        <v>80130</v>
      </c>
      <c r="C50" s="200" t="s">
        <v>87</v>
      </c>
      <c r="D50" s="77">
        <f>E50+L50</f>
        <v>4398005</v>
      </c>
      <c r="E50" s="92">
        <f t="shared" si="14"/>
        <v>4398005</v>
      </c>
      <c r="F50" s="77">
        <f aca="true" t="shared" si="15" ref="F50:L50">F51+F52</f>
        <v>3599177</v>
      </c>
      <c r="G50" s="77">
        <f t="shared" si="15"/>
        <v>785172</v>
      </c>
      <c r="H50" s="77">
        <f t="shared" si="15"/>
        <v>10656</v>
      </c>
      <c r="I50" s="77">
        <f>I51+I52</f>
        <v>3000</v>
      </c>
      <c r="J50" s="77">
        <f t="shared" si="15"/>
        <v>0</v>
      </c>
      <c r="K50" s="77">
        <f t="shared" si="15"/>
        <v>0</v>
      </c>
      <c r="L50" s="415">
        <f t="shared" si="15"/>
        <v>0</v>
      </c>
    </row>
    <row r="51" spans="1:12" ht="15" hidden="1">
      <c r="A51" s="416"/>
      <c r="B51" s="159"/>
      <c r="C51" s="160" t="s">
        <v>182</v>
      </c>
      <c r="D51" s="161">
        <f aca="true" t="shared" si="16" ref="D51:D61">E51+L51</f>
        <v>4387349</v>
      </c>
      <c r="E51" s="92">
        <f t="shared" si="14"/>
        <v>4387349</v>
      </c>
      <c r="F51" s="77">
        <f>3061583+537594</f>
        <v>3599177</v>
      </c>
      <c r="G51" s="77">
        <f>785172</f>
        <v>785172</v>
      </c>
      <c r="H51" s="77">
        <v>0</v>
      </c>
      <c r="I51" s="77">
        <f>3000</f>
        <v>3000</v>
      </c>
      <c r="J51" s="77">
        <v>0</v>
      </c>
      <c r="K51" s="77">
        <v>0</v>
      </c>
      <c r="L51" s="415">
        <f>0</f>
        <v>0</v>
      </c>
    </row>
    <row r="52" spans="1:12" ht="45" hidden="1">
      <c r="A52" s="416"/>
      <c r="B52" s="159"/>
      <c r="C52" s="160" t="s">
        <v>183</v>
      </c>
      <c r="D52" s="161">
        <f t="shared" si="16"/>
        <v>10656</v>
      </c>
      <c r="E52" s="92">
        <f t="shared" si="14"/>
        <v>10656</v>
      </c>
      <c r="F52" s="77">
        <v>0</v>
      </c>
      <c r="G52" s="77">
        <v>0</v>
      </c>
      <c r="H52" s="77">
        <f>10656</f>
        <v>10656</v>
      </c>
      <c r="I52" s="77">
        <v>0</v>
      </c>
      <c r="J52" s="77">
        <v>0</v>
      </c>
      <c r="K52" s="77">
        <v>0</v>
      </c>
      <c r="L52" s="415">
        <v>0</v>
      </c>
    </row>
    <row r="53" spans="1:12" ht="15">
      <c r="A53" s="414"/>
      <c r="B53" s="122">
        <v>80134</v>
      </c>
      <c r="C53" s="200" t="s">
        <v>91</v>
      </c>
      <c r="D53" s="77">
        <f t="shared" si="16"/>
        <v>775147</v>
      </c>
      <c r="E53" s="92">
        <f t="shared" si="14"/>
        <v>775147</v>
      </c>
      <c r="F53" s="77">
        <f>F54</f>
        <v>701071</v>
      </c>
      <c r="G53" s="77">
        <f>G54</f>
        <v>74076</v>
      </c>
      <c r="H53" s="77">
        <f>SUM(H54)</f>
        <v>0</v>
      </c>
      <c r="I53" s="77">
        <f>SUM(I54)</f>
        <v>0</v>
      </c>
      <c r="J53" s="77">
        <f>SUM(J54)</f>
        <v>0</v>
      </c>
      <c r="K53" s="77">
        <f>SUM(K54)</f>
        <v>0</v>
      </c>
      <c r="L53" s="415">
        <f>L54</f>
        <v>0</v>
      </c>
    </row>
    <row r="54" spans="1:12" ht="14.25" customHeight="1" hidden="1">
      <c r="A54" s="416"/>
      <c r="B54" s="159"/>
      <c r="C54" s="160" t="s">
        <v>184</v>
      </c>
      <c r="D54" s="161">
        <f t="shared" si="16"/>
        <v>775147</v>
      </c>
      <c r="E54" s="92">
        <f t="shared" si="14"/>
        <v>775147</v>
      </c>
      <c r="F54" s="77">
        <f>594959+106112</f>
        <v>701071</v>
      </c>
      <c r="G54" s="77">
        <f>74076</f>
        <v>74076</v>
      </c>
      <c r="H54" s="77">
        <v>0</v>
      </c>
      <c r="I54" s="77">
        <v>0</v>
      </c>
      <c r="J54" s="77">
        <v>0</v>
      </c>
      <c r="K54" s="77">
        <v>0</v>
      </c>
      <c r="L54" s="415">
        <v>0</v>
      </c>
    </row>
    <row r="55" spans="1:12" ht="14.25" customHeight="1">
      <c r="A55" s="414"/>
      <c r="B55" s="122">
        <v>80144</v>
      </c>
      <c r="C55" s="200" t="s">
        <v>185</v>
      </c>
      <c r="D55" s="77">
        <f t="shared" si="16"/>
        <v>2119325</v>
      </c>
      <c r="E55" s="92">
        <f t="shared" si="14"/>
        <v>2112925</v>
      </c>
      <c r="F55" s="77">
        <f aca="true" t="shared" si="17" ref="F55:K55">SUM(F56:F57)</f>
        <v>111087</v>
      </c>
      <c r="G55" s="77">
        <f t="shared" si="17"/>
        <v>151088</v>
      </c>
      <c r="H55" s="77">
        <f t="shared" si="17"/>
        <v>1850250</v>
      </c>
      <c r="I55" s="77">
        <f t="shared" si="17"/>
        <v>500</v>
      </c>
      <c r="J55" s="77">
        <f t="shared" si="17"/>
        <v>0</v>
      </c>
      <c r="K55" s="77">
        <f t="shared" si="17"/>
        <v>0</v>
      </c>
      <c r="L55" s="415">
        <f>SUM(L56:L57)</f>
        <v>6400</v>
      </c>
    </row>
    <row r="56" spans="1:12" ht="30" hidden="1">
      <c r="A56" s="416"/>
      <c r="B56" s="159"/>
      <c r="C56" s="160" t="s">
        <v>186</v>
      </c>
      <c r="D56" s="161">
        <f t="shared" si="16"/>
        <v>1850250</v>
      </c>
      <c r="E56" s="92">
        <f t="shared" si="14"/>
        <v>1850250</v>
      </c>
      <c r="F56" s="77">
        <v>0</v>
      </c>
      <c r="G56" s="77">
        <v>0</v>
      </c>
      <c r="H56" s="77">
        <f>1850250</f>
        <v>1850250</v>
      </c>
      <c r="I56" s="77">
        <v>0</v>
      </c>
      <c r="J56" s="77">
        <v>0</v>
      </c>
      <c r="K56" s="77">
        <v>0</v>
      </c>
      <c r="L56" s="415">
        <v>0</v>
      </c>
    </row>
    <row r="57" spans="1:12" ht="15" hidden="1">
      <c r="A57" s="416"/>
      <c r="B57" s="159"/>
      <c r="C57" s="160" t="s">
        <v>281</v>
      </c>
      <c r="D57" s="161">
        <f>E57+L57</f>
        <v>269075</v>
      </c>
      <c r="E57" s="92">
        <f t="shared" si="14"/>
        <v>262675</v>
      </c>
      <c r="F57" s="77">
        <f>94309+16778</f>
        <v>111087</v>
      </c>
      <c r="G57" s="77">
        <f>151088</f>
        <v>151088</v>
      </c>
      <c r="H57" s="77">
        <v>0</v>
      </c>
      <c r="I57" s="77">
        <f>500</f>
        <v>500</v>
      </c>
      <c r="J57" s="77">
        <v>0</v>
      </c>
      <c r="K57" s="77">
        <v>0</v>
      </c>
      <c r="L57" s="415">
        <f>6400</f>
        <v>6400</v>
      </c>
    </row>
    <row r="58" spans="1:12" ht="15">
      <c r="A58" s="121"/>
      <c r="B58" s="122">
        <v>80146</v>
      </c>
      <c r="C58" s="200" t="s">
        <v>158</v>
      </c>
      <c r="D58" s="77">
        <f t="shared" si="16"/>
        <v>63913</v>
      </c>
      <c r="E58" s="92">
        <f t="shared" si="14"/>
        <v>63913</v>
      </c>
      <c r="F58" s="77">
        <v>0</v>
      </c>
      <c r="G58" s="77">
        <f>63913</f>
        <v>63913</v>
      </c>
      <c r="H58" s="77">
        <v>0</v>
      </c>
      <c r="I58" s="77">
        <v>0</v>
      </c>
      <c r="J58" s="77">
        <v>0</v>
      </c>
      <c r="K58" s="77">
        <v>0</v>
      </c>
      <c r="L58" s="415">
        <v>0</v>
      </c>
    </row>
    <row r="59" spans="1:12" ht="15.75" thickBot="1">
      <c r="A59" s="414"/>
      <c r="B59" s="157">
        <v>80195</v>
      </c>
      <c r="C59" s="158" t="s">
        <v>140</v>
      </c>
      <c r="D59" s="77">
        <f t="shared" si="16"/>
        <v>358871</v>
      </c>
      <c r="E59" s="92">
        <f t="shared" si="14"/>
        <v>303871</v>
      </c>
      <c r="F59" s="77">
        <f>28500</f>
        <v>28500</v>
      </c>
      <c r="G59" s="77">
        <f>275371</f>
        <v>275371</v>
      </c>
      <c r="H59" s="77">
        <v>0</v>
      </c>
      <c r="I59" s="77">
        <v>0</v>
      </c>
      <c r="J59" s="77">
        <v>0</v>
      </c>
      <c r="K59" s="77">
        <v>0</v>
      </c>
      <c r="L59" s="415">
        <f>55000</f>
        <v>55000</v>
      </c>
    </row>
    <row r="60" spans="1:12" ht="18" thickBot="1" thickTop="1">
      <c r="A60" s="268">
        <v>851</v>
      </c>
      <c r="B60" s="181"/>
      <c r="C60" s="151" t="s">
        <v>13</v>
      </c>
      <c r="D60" s="67">
        <f>E60+L60</f>
        <v>300760</v>
      </c>
      <c r="E60" s="68">
        <f>SUM(F60:K60)</f>
        <v>300760</v>
      </c>
      <c r="F60" s="67">
        <f aca="true" t="shared" si="18" ref="F60:K60">SUM(F62+F61)</f>
        <v>44000</v>
      </c>
      <c r="G60" s="67">
        <f t="shared" si="18"/>
        <v>256760</v>
      </c>
      <c r="H60" s="67">
        <f t="shared" si="18"/>
        <v>0</v>
      </c>
      <c r="I60" s="67">
        <f t="shared" si="18"/>
        <v>0</v>
      </c>
      <c r="J60" s="67">
        <f t="shared" si="18"/>
        <v>0</v>
      </c>
      <c r="K60" s="67">
        <f t="shared" si="18"/>
        <v>0</v>
      </c>
      <c r="L60" s="404">
        <f>SUM(L61)</f>
        <v>0</v>
      </c>
    </row>
    <row r="61" spans="1:12" ht="45.75" thickTop="1">
      <c r="A61" s="405"/>
      <c r="B61" s="149">
        <v>85156</v>
      </c>
      <c r="C61" s="150" t="s">
        <v>92</v>
      </c>
      <c r="D61" s="72">
        <f t="shared" si="16"/>
        <v>760</v>
      </c>
      <c r="E61" s="73">
        <f t="shared" si="14"/>
        <v>760</v>
      </c>
      <c r="F61" s="72">
        <v>0</v>
      </c>
      <c r="G61" s="72">
        <f>760</f>
        <v>760</v>
      </c>
      <c r="H61" s="72">
        <v>0</v>
      </c>
      <c r="I61" s="72">
        <v>0</v>
      </c>
      <c r="J61" s="72">
        <f>J62+J63+J64</f>
        <v>0</v>
      </c>
      <c r="K61" s="72">
        <f>K62+K63+K64</f>
        <v>0</v>
      </c>
      <c r="L61" s="421">
        <v>0</v>
      </c>
    </row>
    <row r="62" spans="1:12" ht="15.75" thickBot="1">
      <c r="A62" s="118"/>
      <c r="B62" s="59">
        <v>85195</v>
      </c>
      <c r="C62" s="185" t="s">
        <v>140</v>
      </c>
      <c r="D62" s="72">
        <f>E62+L61</f>
        <v>300000</v>
      </c>
      <c r="E62" s="73">
        <f t="shared" si="14"/>
        <v>300000</v>
      </c>
      <c r="F62" s="72">
        <f>44000</f>
        <v>44000</v>
      </c>
      <c r="G62" s="72">
        <f>190000+66000</f>
        <v>256000</v>
      </c>
      <c r="H62" s="72">
        <v>0</v>
      </c>
      <c r="I62" s="72">
        <v>0</v>
      </c>
      <c r="J62" s="72">
        <v>0</v>
      </c>
      <c r="K62" s="72">
        <f>SUM(K63:K65)</f>
        <v>0</v>
      </c>
      <c r="L62" s="460">
        <v>0</v>
      </c>
    </row>
    <row r="63" spans="1:12" ht="18" thickBot="1" thickTop="1">
      <c r="A63" s="403">
        <v>852</v>
      </c>
      <c r="B63" s="147"/>
      <c r="C63" s="151" t="s">
        <v>96</v>
      </c>
      <c r="D63" s="67">
        <f>E63+L63</f>
        <v>6877784</v>
      </c>
      <c r="E63" s="68">
        <f>SUM(F63:K63)</f>
        <v>6753784</v>
      </c>
      <c r="F63" s="67">
        <f aca="true" t="shared" si="19" ref="F63:L63">SUM(F64+F68+F69+F70+F71)</f>
        <v>3329709</v>
      </c>
      <c r="G63" s="67">
        <f t="shared" si="19"/>
        <v>1197525</v>
      </c>
      <c r="H63" s="67">
        <f t="shared" si="19"/>
        <v>629400</v>
      </c>
      <c r="I63" s="67">
        <f t="shared" si="19"/>
        <v>1597150</v>
      </c>
      <c r="J63" s="67">
        <f t="shared" si="19"/>
        <v>0</v>
      </c>
      <c r="K63" s="67">
        <f t="shared" si="19"/>
        <v>0</v>
      </c>
      <c r="L63" s="464">
        <f t="shared" si="19"/>
        <v>124000</v>
      </c>
    </row>
    <row r="64" spans="1:12" ht="15.75" thickTop="1">
      <c r="A64" s="118"/>
      <c r="B64" s="59">
        <v>85201</v>
      </c>
      <c r="C64" s="185" t="s">
        <v>187</v>
      </c>
      <c r="D64" s="72">
        <f>E64+L64</f>
        <v>2156700</v>
      </c>
      <c r="E64" s="73">
        <f t="shared" si="14"/>
        <v>2156700</v>
      </c>
      <c r="F64" s="72">
        <f>F65+F66+F67</f>
        <v>1048000</v>
      </c>
      <c r="G64" s="72">
        <f>G65+G66+G67</f>
        <v>377500</v>
      </c>
      <c r="H64" s="72">
        <f>SUM(H65:H67)</f>
        <v>629400</v>
      </c>
      <c r="I64" s="72">
        <f>SUM(I65:I67)</f>
        <v>101800</v>
      </c>
      <c r="J64" s="72">
        <f>SUM(J65:J67)</f>
        <v>0</v>
      </c>
      <c r="K64" s="72">
        <f>SUM(K65:K67)</f>
        <v>0</v>
      </c>
      <c r="L64" s="406">
        <f>SUM(L65:L67)</f>
        <v>0</v>
      </c>
    </row>
    <row r="65" spans="1:12" ht="15" hidden="1">
      <c r="A65" s="416"/>
      <c r="B65" s="159"/>
      <c r="C65" s="160" t="s">
        <v>188</v>
      </c>
      <c r="D65" s="161">
        <f>SUM(L65+E65)</f>
        <v>1449000</v>
      </c>
      <c r="E65" s="92">
        <f t="shared" si="14"/>
        <v>1449000</v>
      </c>
      <c r="F65" s="77">
        <f>898000+150000</f>
        <v>1048000</v>
      </c>
      <c r="G65" s="77">
        <f>373000</f>
        <v>373000</v>
      </c>
      <c r="H65" s="77">
        <v>0</v>
      </c>
      <c r="I65" s="77">
        <f>28000</f>
        <v>28000</v>
      </c>
      <c r="J65" s="77">
        <v>0</v>
      </c>
      <c r="K65" s="77">
        <v>0</v>
      </c>
      <c r="L65" s="415">
        <v>0</v>
      </c>
    </row>
    <row r="66" spans="1:12" ht="15" hidden="1">
      <c r="A66" s="416"/>
      <c r="B66" s="159"/>
      <c r="C66" s="160" t="s">
        <v>189</v>
      </c>
      <c r="D66" s="161">
        <f>E66+L66</f>
        <v>78300</v>
      </c>
      <c r="E66" s="92">
        <f t="shared" si="14"/>
        <v>78300</v>
      </c>
      <c r="F66" s="77">
        <v>0</v>
      </c>
      <c r="G66" s="77">
        <f>4500</f>
        <v>4500</v>
      </c>
      <c r="H66" s="77">
        <v>0</v>
      </c>
      <c r="I66" s="77">
        <f>73800</f>
        <v>73800</v>
      </c>
      <c r="J66" s="77">
        <v>0</v>
      </c>
      <c r="K66" s="77">
        <v>0</v>
      </c>
      <c r="L66" s="415">
        <v>0</v>
      </c>
    </row>
    <row r="67" spans="1:12" ht="15" hidden="1">
      <c r="A67" s="416"/>
      <c r="B67" s="159"/>
      <c r="C67" s="160" t="s">
        <v>164</v>
      </c>
      <c r="D67" s="161">
        <f>E67+L67</f>
        <v>629400</v>
      </c>
      <c r="E67" s="92">
        <f t="shared" si="14"/>
        <v>629400</v>
      </c>
      <c r="F67" s="77">
        <v>0</v>
      </c>
      <c r="G67" s="77">
        <v>0</v>
      </c>
      <c r="H67" s="77">
        <f>629400</f>
        <v>629400</v>
      </c>
      <c r="I67" s="77">
        <v>0</v>
      </c>
      <c r="J67" s="77">
        <v>0</v>
      </c>
      <c r="K67" s="77">
        <v>0</v>
      </c>
      <c r="L67" s="415">
        <v>0</v>
      </c>
    </row>
    <row r="68" spans="1:12" ht="15">
      <c r="A68" s="414"/>
      <c r="B68" s="157">
        <v>85202</v>
      </c>
      <c r="C68" s="158" t="s">
        <v>190</v>
      </c>
      <c r="D68" s="77">
        <f>E68+L68</f>
        <v>2825289</v>
      </c>
      <c r="E68" s="92">
        <f t="shared" si="14"/>
        <v>2701289</v>
      </c>
      <c r="F68" s="77">
        <f>1650108+295498</f>
        <v>1945606</v>
      </c>
      <c r="G68" s="77">
        <f>747803</f>
        <v>747803</v>
      </c>
      <c r="H68" s="77">
        <v>0</v>
      </c>
      <c r="I68" s="77">
        <f>7880</f>
        <v>7880</v>
      </c>
      <c r="J68" s="77">
        <v>0</v>
      </c>
      <c r="K68" s="77">
        <v>0</v>
      </c>
      <c r="L68" s="415">
        <f>124000</f>
        <v>124000</v>
      </c>
    </row>
    <row r="69" spans="1:12" ht="15">
      <c r="A69" s="414"/>
      <c r="B69" s="157">
        <v>85204</v>
      </c>
      <c r="C69" s="158" t="s">
        <v>165</v>
      </c>
      <c r="D69" s="77">
        <f>E69+L69</f>
        <v>1525270</v>
      </c>
      <c r="E69" s="92">
        <f t="shared" si="14"/>
        <v>1525270</v>
      </c>
      <c r="F69" s="77">
        <f>24000</f>
        <v>24000</v>
      </c>
      <c r="G69" s="77">
        <f>15000</f>
        <v>15000</v>
      </c>
      <c r="H69" s="77">
        <v>0</v>
      </c>
      <c r="I69" s="77">
        <f>1486270</f>
        <v>1486270</v>
      </c>
      <c r="J69" s="77">
        <v>0</v>
      </c>
      <c r="K69" s="77">
        <v>0</v>
      </c>
      <c r="L69" s="418">
        <f>10000-10000</f>
        <v>0</v>
      </c>
    </row>
    <row r="70" spans="1:12" ht="15">
      <c r="A70" s="124"/>
      <c r="B70" s="125">
        <v>85218</v>
      </c>
      <c r="C70" s="201" t="s">
        <v>166</v>
      </c>
      <c r="D70" s="87">
        <f>E70+L69</f>
        <v>315379</v>
      </c>
      <c r="E70" s="102">
        <f t="shared" si="14"/>
        <v>315379</v>
      </c>
      <c r="F70" s="87">
        <f>238265+43792-3100</f>
        <v>278957</v>
      </c>
      <c r="G70" s="87">
        <f>35222</f>
        <v>35222</v>
      </c>
      <c r="H70" s="87">
        <v>0</v>
      </c>
      <c r="I70" s="87">
        <f>1200</f>
        <v>1200</v>
      </c>
      <c r="J70" s="87">
        <v>0</v>
      </c>
      <c r="K70" s="87">
        <v>0</v>
      </c>
      <c r="L70" s="415">
        <v>0</v>
      </c>
    </row>
    <row r="71" spans="1:12" ht="45.75" thickBot="1">
      <c r="A71" s="414"/>
      <c r="B71" s="157">
        <v>85220</v>
      </c>
      <c r="C71" s="158" t="s">
        <v>268</v>
      </c>
      <c r="D71" s="77">
        <f>E71+L70</f>
        <v>55146</v>
      </c>
      <c r="E71" s="92">
        <f t="shared" si="14"/>
        <v>55146</v>
      </c>
      <c r="F71" s="77">
        <f>28000+5146</f>
        <v>33146</v>
      </c>
      <c r="G71" s="77">
        <f>7000+15000</f>
        <v>22000</v>
      </c>
      <c r="H71" s="77">
        <v>0</v>
      </c>
      <c r="I71" s="77">
        <v>0</v>
      </c>
      <c r="J71" s="77">
        <v>0</v>
      </c>
      <c r="K71" s="77">
        <v>0</v>
      </c>
      <c r="L71" s="411">
        <f>L74+L72</f>
        <v>0</v>
      </c>
    </row>
    <row r="72" spans="1:12" ht="34.5" thickBot="1" thickTop="1">
      <c r="A72" s="268">
        <v>853</v>
      </c>
      <c r="B72" s="181"/>
      <c r="C72" s="183" t="s">
        <v>18</v>
      </c>
      <c r="D72" s="67">
        <f>E72+L71</f>
        <v>1463842</v>
      </c>
      <c r="E72" s="68">
        <f t="shared" si="14"/>
        <v>1463842</v>
      </c>
      <c r="F72" s="67">
        <f aca="true" t="shared" si="20" ref="F72:K72">F75+F73+F76+F74</f>
        <v>1194779</v>
      </c>
      <c r="G72" s="67">
        <f t="shared" si="20"/>
        <v>124085</v>
      </c>
      <c r="H72" s="67">
        <f t="shared" si="20"/>
        <v>57540</v>
      </c>
      <c r="I72" s="67">
        <f t="shared" si="20"/>
        <v>0</v>
      </c>
      <c r="J72" s="67">
        <f t="shared" si="20"/>
        <v>87438</v>
      </c>
      <c r="K72" s="67">
        <f t="shared" si="20"/>
        <v>0</v>
      </c>
      <c r="L72" s="409">
        <v>0</v>
      </c>
    </row>
    <row r="73" spans="1:12" ht="30.75" thickTop="1">
      <c r="A73" s="437"/>
      <c r="B73" s="395">
        <v>85311</v>
      </c>
      <c r="C73" s="396" t="s">
        <v>167</v>
      </c>
      <c r="D73" s="397">
        <f>SUM(L72+E73)</f>
        <v>57540</v>
      </c>
      <c r="E73" s="398">
        <f t="shared" si="14"/>
        <v>57540</v>
      </c>
      <c r="F73" s="397">
        <v>0</v>
      </c>
      <c r="G73" s="397">
        <v>0</v>
      </c>
      <c r="H73" s="397">
        <f>57540</f>
        <v>57540</v>
      </c>
      <c r="I73" s="397">
        <v>0</v>
      </c>
      <c r="J73" s="397">
        <v>0</v>
      </c>
      <c r="K73" s="397">
        <v>0</v>
      </c>
      <c r="L73" s="406">
        <v>0</v>
      </c>
    </row>
    <row r="74" spans="1:12" ht="14.25" customHeight="1">
      <c r="A74" s="430"/>
      <c r="B74" s="59">
        <v>85321</v>
      </c>
      <c r="C74" s="185" t="s">
        <v>288</v>
      </c>
      <c r="D74" s="72">
        <f>SUM(L73+E74)</f>
        <v>49114</v>
      </c>
      <c r="E74" s="73">
        <f t="shared" si="14"/>
        <v>49114</v>
      </c>
      <c r="F74" s="72">
        <f>104081+25298-91000</f>
        <v>38379</v>
      </c>
      <c r="G74" s="72">
        <f>19735-9000</f>
        <v>10735</v>
      </c>
      <c r="H74" s="72">
        <v>0</v>
      </c>
      <c r="I74" s="72">
        <v>0</v>
      </c>
      <c r="J74" s="72">
        <v>0</v>
      </c>
      <c r="K74" s="72">
        <v>0</v>
      </c>
      <c r="L74" s="413">
        <v>0</v>
      </c>
    </row>
    <row r="75" spans="1:12" ht="15">
      <c r="A75" s="279"/>
      <c r="B75" s="58">
        <v>85333</v>
      </c>
      <c r="C75" s="202" t="s">
        <v>168</v>
      </c>
      <c r="D75" s="93">
        <f>E75+L74</f>
        <v>1269750</v>
      </c>
      <c r="E75" s="156">
        <f t="shared" si="14"/>
        <v>1269750</v>
      </c>
      <c r="F75" s="93">
        <f>975900+180500</f>
        <v>1156400</v>
      </c>
      <c r="G75" s="93">
        <f>113350</f>
        <v>113350</v>
      </c>
      <c r="H75" s="93">
        <v>0</v>
      </c>
      <c r="I75" s="93">
        <v>0</v>
      </c>
      <c r="J75" s="93">
        <v>0</v>
      </c>
      <c r="K75" s="93">
        <v>0</v>
      </c>
      <c r="L75" s="418">
        <v>0</v>
      </c>
    </row>
    <row r="76" spans="1:12" ht="15" customHeight="1" thickBot="1">
      <c r="A76" s="425"/>
      <c r="B76" s="162">
        <v>85395</v>
      </c>
      <c r="C76" s="163" t="s">
        <v>140</v>
      </c>
      <c r="D76" s="87">
        <f>SUM(D77:D77)</f>
        <v>87438</v>
      </c>
      <c r="E76" s="102">
        <f>SUM(F76:K76)</f>
        <v>87438</v>
      </c>
      <c r="F76" s="87">
        <f aca="true" t="shared" si="21" ref="F76:L76">SUM(F77:F77)</f>
        <v>0</v>
      </c>
      <c r="G76" s="87">
        <f t="shared" si="21"/>
        <v>0</v>
      </c>
      <c r="H76" s="87">
        <f t="shared" si="21"/>
        <v>0</v>
      </c>
      <c r="I76" s="87">
        <f t="shared" si="21"/>
        <v>0</v>
      </c>
      <c r="J76" s="87">
        <f t="shared" si="21"/>
        <v>87438</v>
      </c>
      <c r="K76" s="87">
        <f t="shared" si="21"/>
        <v>0</v>
      </c>
      <c r="L76" s="415">
        <f t="shared" si="21"/>
        <v>0</v>
      </c>
    </row>
    <row r="77" spans="1:12" ht="15.75" hidden="1" thickBot="1">
      <c r="A77" s="426"/>
      <c r="B77" s="159"/>
      <c r="C77" s="399" t="s">
        <v>314</v>
      </c>
      <c r="D77" s="166">
        <f>E77+L75</f>
        <v>87438</v>
      </c>
      <c r="E77" s="102">
        <f>SUM(F77:K77)</f>
        <v>87438</v>
      </c>
      <c r="F77" s="77">
        <v>0</v>
      </c>
      <c r="G77" s="77">
        <v>0</v>
      </c>
      <c r="H77" s="77">
        <v>0</v>
      </c>
      <c r="I77" s="77">
        <v>0</v>
      </c>
      <c r="J77" s="77">
        <f>87438</f>
        <v>87438</v>
      </c>
      <c r="K77" s="77">
        <v>0</v>
      </c>
      <c r="L77" s="415">
        <v>0</v>
      </c>
    </row>
    <row r="78" spans="1:12" ht="18" thickBot="1" thickTop="1">
      <c r="A78" s="268">
        <v>854</v>
      </c>
      <c r="B78" s="181"/>
      <c r="C78" s="183" t="s">
        <v>14</v>
      </c>
      <c r="D78" s="67">
        <f>SUM(E78+L78)</f>
        <v>3065770</v>
      </c>
      <c r="E78" s="68">
        <f aca="true" t="shared" si="22" ref="E78:E86">SUM(F78:K78)</f>
        <v>3065770</v>
      </c>
      <c r="F78" s="67">
        <f aca="true" t="shared" si="23" ref="F78:K78">F79+F80+F81+F82</f>
        <v>2348046</v>
      </c>
      <c r="G78" s="67">
        <f t="shared" si="23"/>
        <v>713224</v>
      </c>
      <c r="H78" s="67">
        <f t="shared" si="23"/>
        <v>0</v>
      </c>
      <c r="I78" s="67">
        <f t="shared" si="23"/>
        <v>4500</v>
      </c>
      <c r="J78" s="67">
        <f t="shared" si="23"/>
        <v>0</v>
      </c>
      <c r="K78" s="67">
        <f t="shared" si="23"/>
        <v>0</v>
      </c>
      <c r="L78" s="404">
        <f>SUM(L79:L82)</f>
        <v>0</v>
      </c>
    </row>
    <row r="79" spans="1:12" ht="15.75" thickTop="1">
      <c r="A79" s="118"/>
      <c r="B79" s="59">
        <v>85403</v>
      </c>
      <c r="C79" s="185" t="s">
        <v>191</v>
      </c>
      <c r="D79" s="72">
        <f>SUM(E79+L79)</f>
        <v>1676471</v>
      </c>
      <c r="E79" s="73">
        <f t="shared" si="22"/>
        <v>1676471</v>
      </c>
      <c r="F79" s="72">
        <f>1102031+186229</f>
        <v>1288260</v>
      </c>
      <c r="G79" s="72">
        <f>384211</f>
        <v>384211</v>
      </c>
      <c r="H79" s="72">
        <v>0</v>
      </c>
      <c r="I79" s="72">
        <f>4000</f>
        <v>4000</v>
      </c>
      <c r="J79" s="72">
        <v>0</v>
      </c>
      <c r="K79" s="72">
        <v>0</v>
      </c>
      <c r="L79" s="406">
        <v>0</v>
      </c>
    </row>
    <row r="80" spans="1:12" ht="30">
      <c r="A80" s="121"/>
      <c r="B80" s="122">
        <v>85406</v>
      </c>
      <c r="C80" s="200" t="s">
        <v>192</v>
      </c>
      <c r="D80" s="77">
        <f>SUM(E80+L80)</f>
        <v>606583</v>
      </c>
      <c r="E80" s="92">
        <f t="shared" si="22"/>
        <v>606583</v>
      </c>
      <c r="F80" s="77">
        <f>466187+82236</f>
        <v>548423</v>
      </c>
      <c r="G80" s="77">
        <f>57660</f>
        <v>57660</v>
      </c>
      <c r="H80" s="77">
        <v>0</v>
      </c>
      <c r="I80" s="77">
        <f>500</f>
        <v>500</v>
      </c>
      <c r="J80" s="77">
        <v>0</v>
      </c>
      <c r="K80" s="77">
        <v>0</v>
      </c>
      <c r="L80" s="415">
        <v>0</v>
      </c>
    </row>
    <row r="81" spans="1:12" ht="15">
      <c r="A81" s="121"/>
      <c r="B81" s="122">
        <v>85407</v>
      </c>
      <c r="C81" s="200" t="s">
        <v>193</v>
      </c>
      <c r="D81" s="77">
        <f>SUM(E81+L81)</f>
        <v>288754</v>
      </c>
      <c r="E81" s="92">
        <f t="shared" si="22"/>
        <v>288754</v>
      </c>
      <c r="F81" s="77">
        <f>213683+16433</f>
        <v>230116</v>
      </c>
      <c r="G81" s="77">
        <f>58638</f>
        <v>58638</v>
      </c>
      <c r="H81" s="77">
        <v>0</v>
      </c>
      <c r="I81" s="77">
        <v>0</v>
      </c>
      <c r="J81" s="77">
        <v>0</v>
      </c>
      <c r="K81" s="77">
        <v>0</v>
      </c>
      <c r="L81" s="415">
        <f>0</f>
        <v>0</v>
      </c>
    </row>
    <row r="82" spans="1:12" ht="15.75" thickBot="1">
      <c r="A82" s="124"/>
      <c r="B82" s="125">
        <v>85410</v>
      </c>
      <c r="C82" s="201" t="s">
        <v>108</v>
      </c>
      <c r="D82" s="87">
        <f>SUM(E82+L82)</f>
        <v>493962</v>
      </c>
      <c r="E82" s="102">
        <f t="shared" si="22"/>
        <v>493962</v>
      </c>
      <c r="F82" s="87">
        <f>238771+42476</f>
        <v>281247</v>
      </c>
      <c r="G82" s="87">
        <f>212715</f>
        <v>212715</v>
      </c>
      <c r="H82" s="87">
        <v>0</v>
      </c>
      <c r="I82" s="87">
        <v>0</v>
      </c>
      <c r="J82" s="87">
        <v>0</v>
      </c>
      <c r="K82" s="87">
        <v>0</v>
      </c>
      <c r="L82" s="460">
        <v>0</v>
      </c>
    </row>
    <row r="83" spans="1:12" ht="34.5" thickBot="1" thickTop="1">
      <c r="A83" s="427">
        <v>900</v>
      </c>
      <c r="B83" s="173"/>
      <c r="C83" s="174" t="s">
        <v>284</v>
      </c>
      <c r="D83" s="67">
        <f>E83+L83</f>
        <v>79500</v>
      </c>
      <c r="E83" s="68">
        <f t="shared" si="22"/>
        <v>69000</v>
      </c>
      <c r="F83" s="67">
        <f>F84+F85</f>
        <v>0</v>
      </c>
      <c r="G83" s="67">
        <f aca="true" t="shared" si="24" ref="G83:L83">SUM(G84)</f>
        <v>69000</v>
      </c>
      <c r="H83" s="67">
        <f t="shared" si="24"/>
        <v>0</v>
      </c>
      <c r="I83" s="67">
        <f t="shared" si="24"/>
        <v>0</v>
      </c>
      <c r="J83" s="67">
        <f t="shared" si="24"/>
        <v>0</v>
      </c>
      <c r="K83" s="67">
        <f t="shared" si="24"/>
        <v>0</v>
      </c>
      <c r="L83" s="461">
        <f t="shared" si="24"/>
        <v>10500</v>
      </c>
    </row>
    <row r="84" spans="1:12" ht="16.5" thickBot="1" thickTop="1">
      <c r="A84" s="405"/>
      <c r="B84" s="149">
        <v>90095</v>
      </c>
      <c r="C84" s="150" t="s">
        <v>140</v>
      </c>
      <c r="D84" s="72">
        <f>E84+L83</f>
        <v>79500</v>
      </c>
      <c r="E84" s="73">
        <f t="shared" si="22"/>
        <v>69000</v>
      </c>
      <c r="F84" s="72">
        <v>0</v>
      </c>
      <c r="G84" s="72">
        <f>69000</f>
        <v>69000</v>
      </c>
      <c r="H84" s="72"/>
      <c r="I84" s="72"/>
      <c r="J84" s="72">
        <v>0</v>
      </c>
      <c r="K84" s="72">
        <v>0</v>
      </c>
      <c r="L84" s="409">
        <f>10500</f>
        <v>10500</v>
      </c>
    </row>
    <row r="85" spans="1:12" ht="34.5" thickBot="1" thickTop="1">
      <c r="A85" s="427">
        <v>921</v>
      </c>
      <c r="B85" s="173"/>
      <c r="C85" s="174" t="s">
        <v>25</v>
      </c>
      <c r="D85" s="67">
        <f>E85+L85</f>
        <v>46000</v>
      </c>
      <c r="E85" s="68">
        <f t="shared" si="22"/>
        <v>46000</v>
      </c>
      <c r="F85" s="67">
        <f aca="true" t="shared" si="25" ref="F85:K85">F86+F87</f>
        <v>0</v>
      </c>
      <c r="G85" s="67">
        <f t="shared" si="25"/>
        <v>20000</v>
      </c>
      <c r="H85" s="67">
        <f t="shared" si="25"/>
        <v>26000</v>
      </c>
      <c r="I85" s="67">
        <f t="shared" si="25"/>
        <v>0</v>
      </c>
      <c r="J85" s="67">
        <f t="shared" si="25"/>
        <v>0</v>
      </c>
      <c r="K85" s="67">
        <f t="shared" si="25"/>
        <v>0</v>
      </c>
      <c r="L85" s="404">
        <f>SUM(L86:L87)</f>
        <v>0</v>
      </c>
    </row>
    <row r="86" spans="1:12" ht="15.75" thickTop="1">
      <c r="A86" s="405"/>
      <c r="B86" s="149">
        <v>92116</v>
      </c>
      <c r="C86" s="150" t="s">
        <v>172</v>
      </c>
      <c r="D86" s="72">
        <f>E86+L86</f>
        <v>26000</v>
      </c>
      <c r="E86" s="73">
        <f t="shared" si="22"/>
        <v>26000</v>
      </c>
      <c r="F86" s="72">
        <v>0</v>
      </c>
      <c r="G86" s="72">
        <v>0</v>
      </c>
      <c r="H86" s="72">
        <f>26000</f>
        <v>26000</v>
      </c>
      <c r="I86" s="72">
        <v>0</v>
      </c>
      <c r="J86" s="72">
        <v>0</v>
      </c>
      <c r="K86" s="72">
        <v>0</v>
      </c>
      <c r="L86" s="413">
        <v>0</v>
      </c>
    </row>
    <row r="87" spans="1:12" ht="15.75" thickBot="1">
      <c r="A87" s="417"/>
      <c r="B87" s="162">
        <v>92195</v>
      </c>
      <c r="C87" s="163" t="s">
        <v>140</v>
      </c>
      <c r="D87" s="87">
        <f>E87+L87</f>
        <v>20000</v>
      </c>
      <c r="E87" s="102">
        <f>SUM(F87:K87)</f>
        <v>20000</v>
      </c>
      <c r="F87" s="87">
        <v>0</v>
      </c>
      <c r="G87" s="87">
        <f>20000</f>
        <v>20000</v>
      </c>
      <c r="H87" s="87">
        <v>0</v>
      </c>
      <c r="I87" s="87">
        <v>0</v>
      </c>
      <c r="J87" s="87">
        <v>0</v>
      </c>
      <c r="K87" s="87">
        <v>0</v>
      </c>
      <c r="L87" s="460">
        <v>0</v>
      </c>
    </row>
    <row r="88" spans="1:12" ht="18" thickBot="1" thickTop="1">
      <c r="A88" s="403">
        <v>926</v>
      </c>
      <c r="B88" s="147"/>
      <c r="C88" s="151" t="s">
        <v>291</v>
      </c>
      <c r="D88" s="67">
        <f>E88+L88</f>
        <v>120000</v>
      </c>
      <c r="E88" s="68">
        <f>SUM(F88:K88)</f>
        <v>120000</v>
      </c>
      <c r="F88" s="67">
        <f aca="true" t="shared" si="26" ref="F88:K88">F89</f>
        <v>0</v>
      </c>
      <c r="G88" s="67">
        <f t="shared" si="26"/>
        <v>120000</v>
      </c>
      <c r="H88" s="67">
        <f t="shared" si="26"/>
        <v>0</v>
      </c>
      <c r="I88" s="67">
        <f t="shared" si="26"/>
        <v>0</v>
      </c>
      <c r="J88" s="67">
        <f t="shared" si="26"/>
        <v>0</v>
      </c>
      <c r="K88" s="67">
        <f t="shared" si="26"/>
        <v>0</v>
      </c>
      <c r="L88" s="404">
        <f>SUM(L89)</f>
        <v>0</v>
      </c>
    </row>
    <row r="89" spans="1:12" ht="16.5" thickBot="1" thickTop="1">
      <c r="A89" s="405"/>
      <c r="B89" s="149">
        <v>92695</v>
      </c>
      <c r="C89" s="150" t="s">
        <v>140</v>
      </c>
      <c r="D89" s="72">
        <f>E89+L89</f>
        <v>120000</v>
      </c>
      <c r="E89" s="73">
        <f>SUM(F89:K89)</f>
        <v>120000</v>
      </c>
      <c r="F89" s="72">
        <v>0</v>
      </c>
      <c r="G89" s="72">
        <f>120000</f>
        <v>120000</v>
      </c>
      <c r="H89" s="72">
        <v>0</v>
      </c>
      <c r="I89" s="72">
        <v>0</v>
      </c>
      <c r="J89" s="72">
        <v>0</v>
      </c>
      <c r="K89" s="72">
        <v>0</v>
      </c>
      <c r="L89" s="462">
        <v>0</v>
      </c>
    </row>
    <row r="90" spans="1:12" ht="17.25" thickBot="1">
      <c r="A90" s="567" t="s">
        <v>173</v>
      </c>
      <c r="B90" s="568"/>
      <c r="C90" s="568"/>
      <c r="D90" s="203">
        <f aca="true" t="shared" si="27" ref="D90:K90">D78+D63+D40+D35+D33+D25+D16+D14+D31+D72+D88+D85+D18+D20+D22+D60+D83</f>
        <v>32234293</v>
      </c>
      <c r="E90" s="204">
        <f t="shared" si="27"/>
        <v>31283393</v>
      </c>
      <c r="F90" s="203">
        <f t="shared" si="27"/>
        <v>18358162</v>
      </c>
      <c r="G90" s="203">
        <f t="shared" si="27"/>
        <v>7269453</v>
      </c>
      <c r="H90" s="203">
        <f t="shared" si="27"/>
        <v>2678302</v>
      </c>
      <c r="I90" s="203">
        <f t="shared" si="27"/>
        <v>1796250</v>
      </c>
      <c r="J90" s="203">
        <f t="shared" si="27"/>
        <v>181226</v>
      </c>
      <c r="K90" s="203">
        <f t="shared" si="27"/>
        <v>1000000</v>
      </c>
      <c r="L90" s="459">
        <f>SUM(L14+L16+L18+L20+L22+L25+L31+L33+L35+L40+L60+L63+L72+L78+L83+L85+L88)</f>
        <v>950900</v>
      </c>
    </row>
    <row r="92" spans="4:5" ht="12.75">
      <c r="D92" s="335"/>
      <c r="E92" s="335"/>
    </row>
  </sheetData>
  <sheetProtection/>
  <mergeCells count="16">
    <mergeCell ref="E10:K10"/>
    <mergeCell ref="L10:L12"/>
    <mergeCell ref="E11:E12"/>
    <mergeCell ref="A90:C90"/>
    <mergeCell ref="J11:J12"/>
    <mergeCell ref="K11:K12"/>
    <mergeCell ref="A6:L6"/>
    <mergeCell ref="A7:L7"/>
    <mergeCell ref="A9:A12"/>
    <mergeCell ref="B9:B12"/>
    <mergeCell ref="C9:C12"/>
    <mergeCell ref="D9:D12"/>
    <mergeCell ref="F11:G11"/>
    <mergeCell ref="H11:H12"/>
    <mergeCell ref="I11:I12"/>
    <mergeCell ref="E9:L9"/>
  </mergeCells>
  <printOptions horizontalCentered="1"/>
  <pageMargins left="0.4330708661417323" right="0.15748031496062992" top="0.5511811023622047" bottom="0.7874015748031497" header="1.1023622047244095" footer="0.5118110236220472"/>
  <pageSetup horizontalDpi="600" verticalDpi="600" orientation="landscape" paperSize="9" scale="71" r:id="rId1"/>
  <rowBreaks count="2" manualBreakCount="2">
    <brk id="28" max="10" man="1"/>
    <brk id="7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">
      <selection activeCell="G2" sqref="G2:G4"/>
    </sheetView>
  </sheetViews>
  <sheetFormatPr defaultColWidth="9.00390625" defaultRowHeight="12.75"/>
  <cols>
    <col min="1" max="1" width="9.25390625" style="0" bestFit="1" customWidth="1"/>
    <col min="2" max="2" width="10.75390625" style="0" customWidth="1"/>
    <col min="3" max="3" width="45.75390625" style="0" bestFit="1" customWidth="1"/>
    <col min="4" max="4" width="13.125" style="0" customWidth="1"/>
    <col min="5" max="5" width="11.875" style="0" bestFit="1" customWidth="1"/>
    <col min="6" max="6" width="13.625" style="0" customWidth="1"/>
    <col min="7" max="8" width="12.375" style="0" customWidth="1"/>
    <col min="9" max="9" width="12.75390625" style="0" customWidth="1"/>
    <col min="10" max="10" width="9.125" style="15" customWidth="1"/>
  </cols>
  <sheetData>
    <row r="1" spans="1:9" ht="15">
      <c r="A1" s="110"/>
      <c r="B1" s="110"/>
      <c r="C1" s="110"/>
      <c r="D1" s="110"/>
      <c r="E1" s="110"/>
      <c r="F1" s="110"/>
      <c r="G1" s="110" t="s">
        <v>194</v>
      </c>
      <c r="H1" s="110"/>
      <c r="I1" s="110"/>
    </row>
    <row r="2" spans="1:9" ht="15">
      <c r="A2" s="110"/>
      <c r="B2" s="110"/>
      <c r="C2" s="110"/>
      <c r="D2" s="110"/>
      <c r="E2" s="110"/>
      <c r="F2" s="110"/>
      <c r="G2" s="29" t="s">
        <v>326</v>
      </c>
      <c r="H2" s="29"/>
      <c r="I2" s="110"/>
    </row>
    <row r="3" spans="1:9" ht="12.75" customHeight="1">
      <c r="A3" s="110"/>
      <c r="B3" s="110"/>
      <c r="C3" s="110"/>
      <c r="D3" s="110"/>
      <c r="E3" s="110"/>
      <c r="F3" s="110"/>
      <c r="G3" s="29" t="s">
        <v>21</v>
      </c>
      <c r="H3" s="29"/>
      <c r="I3" s="110"/>
    </row>
    <row r="4" spans="1:9" ht="15.75" customHeight="1">
      <c r="A4" s="110"/>
      <c r="B4" s="110"/>
      <c r="C4" s="110"/>
      <c r="D4" s="110"/>
      <c r="E4" s="110"/>
      <c r="F4" s="110"/>
      <c r="G4" s="30" t="s">
        <v>327</v>
      </c>
      <c r="H4" s="30"/>
      <c r="I4" s="110"/>
    </row>
    <row r="5" spans="1:9" ht="15.75" customHeight="1">
      <c r="A5" s="110"/>
      <c r="B5" s="110"/>
      <c r="C5" s="110"/>
      <c r="D5" s="110"/>
      <c r="E5" s="110"/>
      <c r="F5" s="110"/>
      <c r="G5" s="110"/>
      <c r="H5" s="110"/>
      <c r="I5" s="110"/>
    </row>
    <row r="6" spans="1:9" ht="18" customHeight="1">
      <c r="A6" s="542" t="s">
        <v>126</v>
      </c>
      <c r="B6" s="521"/>
      <c r="C6" s="521"/>
      <c r="D6" s="521"/>
      <c r="E6" s="521"/>
      <c r="F6" s="521"/>
      <c r="G6" s="521"/>
      <c r="H6" s="521"/>
      <c r="I6" s="521"/>
    </row>
    <row r="7" spans="1:9" ht="16.5" customHeight="1">
      <c r="A7" s="542" t="s">
        <v>195</v>
      </c>
      <c r="B7" s="521"/>
      <c r="C7" s="521"/>
      <c r="D7" s="521"/>
      <c r="E7" s="521"/>
      <c r="F7" s="521"/>
      <c r="G7" s="521"/>
      <c r="H7" s="521"/>
      <c r="I7" s="521"/>
    </row>
    <row r="8" spans="1:9" ht="18">
      <c r="A8" s="542" t="s">
        <v>304</v>
      </c>
      <c r="B8" s="521"/>
      <c r="C8" s="521"/>
      <c r="D8" s="521"/>
      <c r="E8" s="521"/>
      <c r="F8" s="521"/>
      <c r="G8" s="521"/>
      <c r="H8" s="521"/>
      <c r="I8" s="521"/>
    </row>
    <row r="9" spans="1:9" ht="15.75" thickBot="1">
      <c r="A9" s="110"/>
      <c r="B9" s="110"/>
      <c r="C9" s="110"/>
      <c r="D9" s="110"/>
      <c r="E9" s="110"/>
      <c r="F9" s="110"/>
      <c r="G9" s="110"/>
      <c r="H9" s="110"/>
      <c r="I9" s="177" t="s">
        <v>31</v>
      </c>
    </row>
    <row r="10" spans="1:9" ht="13.5" customHeight="1" thickBot="1">
      <c r="A10" s="594" t="s">
        <v>0</v>
      </c>
      <c r="B10" s="594" t="s">
        <v>127</v>
      </c>
      <c r="C10" s="574" t="s">
        <v>35</v>
      </c>
      <c r="D10" s="574" t="s">
        <v>128</v>
      </c>
      <c r="E10" s="577" t="s">
        <v>175</v>
      </c>
      <c r="F10" s="578"/>
      <c r="G10" s="578"/>
      <c r="H10" s="578"/>
      <c r="I10" s="579"/>
    </row>
    <row r="11" spans="1:9" ht="14.25" thickBot="1">
      <c r="A11" s="595"/>
      <c r="B11" s="595"/>
      <c r="C11" s="575"/>
      <c r="D11" s="575"/>
      <c r="E11" s="584" t="s">
        <v>296</v>
      </c>
      <c r="F11" s="585"/>
      <c r="G11" s="585"/>
      <c r="H11" s="586"/>
      <c r="I11" s="580" t="s">
        <v>130</v>
      </c>
    </row>
    <row r="12" spans="1:9" ht="12.75" customHeight="1">
      <c r="A12" s="595"/>
      <c r="B12" s="595"/>
      <c r="C12" s="575"/>
      <c r="D12" s="575"/>
      <c r="E12" s="583" t="s">
        <v>15</v>
      </c>
      <c r="F12" s="590" t="s">
        <v>294</v>
      </c>
      <c r="G12" s="591"/>
      <c r="H12" s="587" t="s">
        <v>293</v>
      </c>
      <c r="I12" s="581"/>
    </row>
    <row r="13" spans="1:9" ht="13.5" customHeight="1" thickBot="1">
      <c r="A13" s="595"/>
      <c r="B13" s="595"/>
      <c r="C13" s="575"/>
      <c r="D13" s="575"/>
      <c r="E13" s="581"/>
      <c r="F13" s="592"/>
      <c r="G13" s="593"/>
      <c r="H13" s="588"/>
      <c r="I13" s="581"/>
    </row>
    <row r="14" spans="1:9" ht="77.25" customHeight="1" thickBot="1">
      <c r="A14" s="596"/>
      <c r="B14" s="596"/>
      <c r="C14" s="576"/>
      <c r="D14" s="576"/>
      <c r="E14" s="582"/>
      <c r="F14" s="439" t="s">
        <v>177</v>
      </c>
      <c r="G14" s="439" t="s">
        <v>295</v>
      </c>
      <c r="H14" s="589"/>
      <c r="I14" s="582"/>
    </row>
    <row r="15" spans="1:9" ht="15" thickBot="1">
      <c r="A15" s="205" t="s">
        <v>196</v>
      </c>
      <c r="B15" s="206" t="s">
        <v>197</v>
      </c>
      <c r="C15" s="207" t="s">
        <v>198</v>
      </c>
      <c r="D15" s="208" t="s">
        <v>199</v>
      </c>
      <c r="E15" s="209" t="s">
        <v>200</v>
      </c>
      <c r="F15" s="207" t="s">
        <v>201</v>
      </c>
      <c r="G15" s="208" t="s">
        <v>202</v>
      </c>
      <c r="H15" s="207" t="s">
        <v>203</v>
      </c>
      <c r="I15" s="210" t="s">
        <v>297</v>
      </c>
    </row>
    <row r="16" spans="1:9" ht="18" thickBot="1" thickTop="1">
      <c r="A16" s="211" t="s">
        <v>43</v>
      </c>
      <c r="B16" s="212"/>
      <c r="C16" s="213" t="s">
        <v>5</v>
      </c>
      <c r="D16" s="214">
        <f>D17+I16</f>
        <v>22000</v>
      </c>
      <c r="E16" s="215">
        <f aca="true" t="shared" si="0" ref="E16:E34">SUM(F16:H16)</f>
        <v>22000</v>
      </c>
      <c r="F16" s="444">
        <f>F17</f>
        <v>0</v>
      </c>
      <c r="G16" s="184">
        <f>G17</f>
        <v>22000</v>
      </c>
      <c r="H16" s="216">
        <f>H17</f>
        <v>0</v>
      </c>
      <c r="I16" s="215">
        <f>I17</f>
        <v>0</v>
      </c>
    </row>
    <row r="17" spans="1:9" ht="31.5" thickBot="1" thickTop="1">
      <c r="A17" s="217"/>
      <c r="B17" s="218" t="s">
        <v>133</v>
      </c>
      <c r="C17" s="219" t="s">
        <v>134</v>
      </c>
      <c r="D17" s="220">
        <f>E17+I17</f>
        <v>22000</v>
      </c>
      <c r="E17" s="221">
        <f t="shared" si="0"/>
        <v>22000</v>
      </c>
      <c r="F17" s="445">
        <v>0</v>
      </c>
      <c r="G17" s="72">
        <f>22000</f>
        <v>22000</v>
      </c>
      <c r="H17" s="222">
        <v>0</v>
      </c>
      <c r="I17" s="221">
        <v>0</v>
      </c>
    </row>
    <row r="18" spans="1:9" ht="21.75" customHeight="1" thickBot="1" thickTop="1">
      <c r="A18" s="223">
        <v>700</v>
      </c>
      <c r="B18" s="223"/>
      <c r="C18" s="224" t="s">
        <v>8</v>
      </c>
      <c r="D18" s="225">
        <f>D19+I19</f>
        <v>11000</v>
      </c>
      <c r="E18" s="226">
        <f t="shared" si="0"/>
        <v>11000</v>
      </c>
      <c r="F18" s="446">
        <v>0</v>
      </c>
      <c r="G18" s="67">
        <f>G19</f>
        <v>11000</v>
      </c>
      <c r="H18" s="227">
        <f>H19</f>
        <v>0</v>
      </c>
      <c r="I18" s="226">
        <v>0</v>
      </c>
    </row>
    <row r="19" spans="1:9" ht="16.5" thickBot="1" thickTop="1">
      <c r="A19" s="228"/>
      <c r="B19" s="228">
        <v>70005</v>
      </c>
      <c r="C19" s="229" t="s">
        <v>49</v>
      </c>
      <c r="D19" s="230">
        <f aca="true" t="shared" si="1" ref="D19:D24">E19+I19</f>
        <v>11000</v>
      </c>
      <c r="E19" s="231">
        <f t="shared" si="0"/>
        <v>11000</v>
      </c>
      <c r="F19" s="447">
        <v>0</v>
      </c>
      <c r="G19" s="93">
        <f>11000</f>
        <v>11000</v>
      </c>
      <c r="H19" s="232">
        <v>0</v>
      </c>
      <c r="I19" s="231">
        <v>0</v>
      </c>
    </row>
    <row r="20" spans="1:9" ht="18" thickBot="1" thickTop="1">
      <c r="A20" s="223">
        <v>710</v>
      </c>
      <c r="B20" s="223"/>
      <c r="C20" s="224" t="s">
        <v>204</v>
      </c>
      <c r="D20" s="225">
        <f t="shared" si="1"/>
        <v>381000</v>
      </c>
      <c r="E20" s="226">
        <f t="shared" si="0"/>
        <v>361000</v>
      </c>
      <c r="F20" s="446">
        <f>F21+F22+F23</f>
        <v>223320</v>
      </c>
      <c r="G20" s="67">
        <f>G21+G22+G23</f>
        <v>137680</v>
      </c>
      <c r="H20" s="227">
        <f>H21+H22+H23</f>
        <v>0</v>
      </c>
      <c r="I20" s="226">
        <f>I21+I22+I23</f>
        <v>20000</v>
      </c>
    </row>
    <row r="21" spans="1:9" ht="28.5" customHeight="1" thickTop="1">
      <c r="A21" s="217"/>
      <c r="B21" s="217">
        <v>71013</v>
      </c>
      <c r="C21" s="219" t="s">
        <v>52</v>
      </c>
      <c r="D21" s="220">
        <f t="shared" si="1"/>
        <v>92000</v>
      </c>
      <c r="E21" s="221">
        <f t="shared" si="0"/>
        <v>92000</v>
      </c>
      <c r="F21" s="445">
        <v>0</v>
      </c>
      <c r="G21" s="72">
        <f>92000</f>
        <v>92000</v>
      </c>
      <c r="H21" s="222">
        <v>0</v>
      </c>
      <c r="I21" s="221">
        <v>0</v>
      </c>
    </row>
    <row r="22" spans="1:9" ht="15">
      <c r="A22" s="233"/>
      <c r="B22" s="233">
        <v>71014</v>
      </c>
      <c r="C22" s="234" t="s">
        <v>53</v>
      </c>
      <c r="D22" s="235">
        <f t="shared" si="1"/>
        <v>23000</v>
      </c>
      <c r="E22" s="236">
        <f t="shared" si="0"/>
        <v>23000</v>
      </c>
      <c r="F22" s="448">
        <v>0</v>
      </c>
      <c r="G22" s="77">
        <f>23000</f>
        <v>23000</v>
      </c>
      <c r="H22" s="237">
        <v>0</v>
      </c>
      <c r="I22" s="236">
        <v>0</v>
      </c>
    </row>
    <row r="23" spans="1:9" ht="15.75" thickBot="1">
      <c r="A23" s="238"/>
      <c r="B23" s="238">
        <v>71015</v>
      </c>
      <c r="C23" s="239" t="s">
        <v>142</v>
      </c>
      <c r="D23" s="240">
        <f>E23+I23</f>
        <v>266000</v>
      </c>
      <c r="E23" s="241">
        <f t="shared" si="0"/>
        <v>246000</v>
      </c>
      <c r="F23" s="449">
        <f>186168+37152</f>
        <v>223320</v>
      </c>
      <c r="G23" s="87">
        <f>20027+2653</f>
        <v>22680</v>
      </c>
      <c r="H23" s="243">
        <v>0</v>
      </c>
      <c r="I23" s="241">
        <f>20000</f>
        <v>20000</v>
      </c>
    </row>
    <row r="24" spans="1:9" ht="18" thickBot="1" thickTop="1">
      <c r="A24" s="223">
        <v>750</v>
      </c>
      <c r="B24" s="223"/>
      <c r="C24" s="224" t="s">
        <v>55</v>
      </c>
      <c r="D24" s="225">
        <f t="shared" si="1"/>
        <v>127200</v>
      </c>
      <c r="E24" s="226">
        <f t="shared" si="0"/>
        <v>127200</v>
      </c>
      <c r="F24" s="450">
        <f>F25+F26</f>
        <v>105200</v>
      </c>
      <c r="G24" s="67">
        <f>G25+G26</f>
        <v>12000</v>
      </c>
      <c r="H24" s="227">
        <f>H25+H26</f>
        <v>10000</v>
      </c>
      <c r="I24" s="226">
        <f>I25+I26</f>
        <v>0</v>
      </c>
    </row>
    <row r="25" spans="1:9" ht="15.75" customHeight="1" thickTop="1">
      <c r="A25" s="217"/>
      <c r="B25" s="217">
        <v>75011</v>
      </c>
      <c r="C25" s="219" t="s">
        <v>56</v>
      </c>
      <c r="D25" s="220">
        <f>I25+E25</f>
        <v>103200</v>
      </c>
      <c r="E25" s="221">
        <f t="shared" si="0"/>
        <v>103200</v>
      </c>
      <c r="F25" s="451">
        <f>103200</f>
        <v>103200</v>
      </c>
      <c r="G25" s="72">
        <f>0</f>
        <v>0</v>
      </c>
      <c r="H25" s="222">
        <f>0</f>
        <v>0</v>
      </c>
      <c r="I25" s="221">
        <v>0</v>
      </c>
    </row>
    <row r="26" spans="1:9" ht="15.75" thickBot="1">
      <c r="A26" s="244"/>
      <c r="B26" s="244">
        <v>75045</v>
      </c>
      <c r="C26" s="88" t="s">
        <v>272</v>
      </c>
      <c r="D26" s="242">
        <f>I26+E26</f>
        <v>24000</v>
      </c>
      <c r="E26" s="241">
        <f t="shared" si="0"/>
        <v>24000</v>
      </c>
      <c r="F26" s="449">
        <f>2000</f>
        <v>2000</v>
      </c>
      <c r="G26" s="87">
        <f>12000</f>
        <v>12000</v>
      </c>
      <c r="H26" s="243">
        <f>10000</f>
        <v>10000</v>
      </c>
      <c r="I26" s="241">
        <v>0</v>
      </c>
    </row>
    <row r="27" spans="1:9" ht="34.5" thickBot="1" thickTop="1">
      <c r="A27" s="223">
        <v>754</v>
      </c>
      <c r="B27" s="223"/>
      <c r="C27" s="224" t="s">
        <v>10</v>
      </c>
      <c r="D27" s="225">
        <f aca="true" t="shared" si="2" ref="D27:D34">E27+I27</f>
        <v>2903000</v>
      </c>
      <c r="E27" s="226">
        <f t="shared" si="0"/>
        <v>2903000</v>
      </c>
      <c r="F27" s="446">
        <f>F28</f>
        <v>2694200</v>
      </c>
      <c r="G27" s="184">
        <f>G28</f>
        <v>33800</v>
      </c>
      <c r="H27" s="441">
        <f>H28</f>
        <v>175000</v>
      </c>
      <c r="I27" s="226">
        <f>I28</f>
        <v>0</v>
      </c>
    </row>
    <row r="28" spans="1:9" ht="18" thickBot="1" thickTop="1">
      <c r="A28" s="245"/>
      <c r="B28" s="217">
        <v>75411</v>
      </c>
      <c r="C28" s="219" t="s">
        <v>71</v>
      </c>
      <c r="D28" s="220">
        <f t="shared" si="2"/>
        <v>2903000</v>
      </c>
      <c r="E28" s="221">
        <f t="shared" si="0"/>
        <v>2903000</v>
      </c>
      <c r="F28" s="451">
        <f>2681500+12700</f>
        <v>2694200</v>
      </c>
      <c r="G28" s="72">
        <f>33800</f>
        <v>33800</v>
      </c>
      <c r="H28" s="222">
        <f>175000</f>
        <v>175000</v>
      </c>
      <c r="I28" s="221">
        <v>0</v>
      </c>
    </row>
    <row r="29" spans="1:9" ht="18" thickBot="1" thickTop="1">
      <c r="A29" s="223">
        <v>851</v>
      </c>
      <c r="B29" s="223"/>
      <c r="C29" s="246" t="s">
        <v>13</v>
      </c>
      <c r="D29" s="247">
        <f t="shared" si="2"/>
        <v>1791000</v>
      </c>
      <c r="E29" s="226">
        <f t="shared" si="0"/>
        <v>1791000</v>
      </c>
      <c r="F29" s="446">
        <f>F30</f>
        <v>0</v>
      </c>
      <c r="G29" s="67">
        <f>G30</f>
        <v>1791000</v>
      </c>
      <c r="H29" s="442">
        <f>H30</f>
        <v>0</v>
      </c>
      <c r="I29" s="248">
        <f>I30</f>
        <v>0</v>
      </c>
    </row>
    <row r="30" spans="1:9" ht="46.5" thickBot="1" thickTop="1">
      <c r="A30" s="249"/>
      <c r="B30" s="249">
        <v>85156</v>
      </c>
      <c r="C30" s="250" t="s">
        <v>205</v>
      </c>
      <c r="D30" s="251">
        <f t="shared" si="2"/>
        <v>1791000</v>
      </c>
      <c r="E30" s="252">
        <f t="shared" si="0"/>
        <v>1791000</v>
      </c>
      <c r="F30" s="452">
        <v>0</v>
      </c>
      <c r="G30" s="454">
        <v>1791000</v>
      </c>
      <c r="H30" s="253">
        <v>0</v>
      </c>
      <c r="I30" s="254">
        <v>0</v>
      </c>
    </row>
    <row r="31" spans="1:9" ht="18" thickBot="1" thickTop="1">
      <c r="A31" s="223">
        <v>852</v>
      </c>
      <c r="B31" s="223"/>
      <c r="C31" s="364" t="s">
        <v>96</v>
      </c>
      <c r="D31" s="247">
        <f>E31+I31</f>
        <v>7000</v>
      </c>
      <c r="E31" s="226">
        <f t="shared" si="0"/>
        <v>7000</v>
      </c>
      <c r="F31" s="446">
        <f>F32</f>
        <v>0</v>
      </c>
      <c r="G31" s="67">
        <f>G32</f>
        <v>7000</v>
      </c>
      <c r="H31" s="442">
        <f>H32</f>
        <v>0</v>
      </c>
      <c r="I31" s="248">
        <f>I32</f>
        <v>0</v>
      </c>
    </row>
    <row r="32" spans="1:9" ht="31.5" thickBot="1" thickTop="1">
      <c r="A32" s="249"/>
      <c r="B32" s="249">
        <v>85205</v>
      </c>
      <c r="C32" s="365" t="s">
        <v>271</v>
      </c>
      <c r="D32" s="251">
        <f>E32+I32</f>
        <v>7000</v>
      </c>
      <c r="E32" s="252">
        <f t="shared" si="0"/>
        <v>7000</v>
      </c>
      <c r="F32" s="452">
        <v>0</v>
      </c>
      <c r="G32" s="454">
        <f>7000</f>
        <v>7000</v>
      </c>
      <c r="H32" s="253">
        <v>0</v>
      </c>
      <c r="I32" s="254">
        <v>0</v>
      </c>
    </row>
    <row r="33" spans="1:9" ht="34.5" thickBot="1" thickTop="1">
      <c r="A33" s="255">
        <v>853</v>
      </c>
      <c r="B33" s="255"/>
      <c r="C33" s="256" t="s">
        <v>206</v>
      </c>
      <c r="D33" s="257">
        <f t="shared" si="2"/>
        <v>61000</v>
      </c>
      <c r="E33" s="258">
        <f t="shared" si="0"/>
        <v>61000</v>
      </c>
      <c r="F33" s="440">
        <f>F34</f>
        <v>61000</v>
      </c>
      <c r="G33" s="455">
        <f>G34</f>
        <v>0</v>
      </c>
      <c r="H33" s="443">
        <f>H34</f>
        <v>0</v>
      </c>
      <c r="I33" s="258">
        <f>I34</f>
        <v>0</v>
      </c>
    </row>
    <row r="34" spans="1:9" ht="16.5" thickBot="1" thickTop="1">
      <c r="A34" s="360"/>
      <c r="B34" s="361">
        <v>85321</v>
      </c>
      <c r="C34" s="362" t="s">
        <v>102</v>
      </c>
      <c r="D34" s="363">
        <f t="shared" si="2"/>
        <v>61000</v>
      </c>
      <c r="E34" s="231">
        <f t="shared" si="0"/>
        <v>61000</v>
      </c>
      <c r="F34" s="453">
        <f>61000</f>
        <v>61000</v>
      </c>
      <c r="G34" s="456">
        <f>0</f>
        <v>0</v>
      </c>
      <c r="H34" s="232">
        <f>0</f>
        <v>0</v>
      </c>
      <c r="I34" s="231">
        <v>0</v>
      </c>
    </row>
    <row r="35" spans="1:9" ht="17.25" thickBot="1">
      <c r="A35" s="572" t="s">
        <v>173</v>
      </c>
      <c r="B35" s="573"/>
      <c r="C35" s="573"/>
      <c r="D35" s="259">
        <f aca="true" t="shared" si="3" ref="D35:I35">D33+D29+D27+D24+D20+D18+D16+D31</f>
        <v>5303200</v>
      </c>
      <c r="E35" s="370">
        <f t="shared" si="3"/>
        <v>5283200</v>
      </c>
      <c r="F35" s="259">
        <f t="shared" si="3"/>
        <v>3083720</v>
      </c>
      <c r="G35" s="259">
        <f t="shared" si="3"/>
        <v>2014480</v>
      </c>
      <c r="H35" s="259">
        <f t="shared" si="3"/>
        <v>185000</v>
      </c>
      <c r="I35" s="370">
        <f t="shared" si="3"/>
        <v>20000</v>
      </c>
    </row>
  </sheetData>
  <sheetProtection/>
  <mergeCells count="14">
    <mergeCell ref="F12:G13"/>
    <mergeCell ref="A10:A14"/>
    <mergeCell ref="B10:B14"/>
    <mergeCell ref="C10:C14"/>
    <mergeCell ref="A35:C35"/>
    <mergeCell ref="A6:I6"/>
    <mergeCell ref="A7:I7"/>
    <mergeCell ref="A8:I8"/>
    <mergeCell ref="D10:D14"/>
    <mergeCell ref="E10:I10"/>
    <mergeCell ref="I11:I14"/>
    <mergeCell ref="E12:E14"/>
    <mergeCell ref="E11:H11"/>
    <mergeCell ref="H12:H14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75" r:id="rId1"/>
  <rowBreaks count="1" manualBreakCount="1">
    <brk id="2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J23"/>
  <sheetViews>
    <sheetView zoomScalePageLayoutView="0" workbookViewId="0" topLeftCell="A4">
      <selection activeCell="G5" sqref="G5:G7"/>
    </sheetView>
  </sheetViews>
  <sheetFormatPr defaultColWidth="9.00390625" defaultRowHeight="12.75"/>
  <cols>
    <col min="2" max="2" width="10.125" style="0" customWidth="1"/>
    <col min="3" max="3" width="45.75390625" style="0" bestFit="1" customWidth="1"/>
    <col min="4" max="4" width="13.125" style="0" customWidth="1"/>
    <col min="5" max="5" width="10.875" style="0" bestFit="1" customWidth="1"/>
    <col min="6" max="6" width="13.75390625" style="0" customWidth="1"/>
    <col min="7" max="8" width="12.375" style="0" customWidth="1"/>
    <col min="9" max="9" width="13.875" style="0" customWidth="1"/>
    <col min="10" max="10" width="9.125" style="15" customWidth="1"/>
  </cols>
  <sheetData>
    <row r="4" spans="1:9" ht="15">
      <c r="A4" s="110"/>
      <c r="B4" s="110"/>
      <c r="C4" s="110"/>
      <c r="D4" s="110"/>
      <c r="E4" s="110"/>
      <c r="F4" s="110"/>
      <c r="G4" s="110" t="s">
        <v>207</v>
      </c>
      <c r="H4" s="110"/>
      <c r="I4" s="110"/>
    </row>
    <row r="5" spans="1:9" ht="15">
      <c r="A5" s="110"/>
      <c r="B5" s="110"/>
      <c r="C5" s="110"/>
      <c r="D5" s="110"/>
      <c r="E5" s="110"/>
      <c r="F5" s="110"/>
      <c r="G5" s="29" t="s">
        <v>326</v>
      </c>
      <c r="H5" s="29"/>
      <c r="I5" s="110"/>
    </row>
    <row r="6" spans="1:9" ht="12.75" customHeight="1">
      <c r="A6" s="110"/>
      <c r="B6" s="110"/>
      <c r="C6" s="110"/>
      <c r="D6" s="110"/>
      <c r="E6" s="110"/>
      <c r="F6" s="110"/>
      <c r="G6" s="29" t="s">
        <v>21</v>
      </c>
      <c r="H6" s="29"/>
      <c r="I6" s="110"/>
    </row>
    <row r="7" spans="1:9" ht="15.75" customHeight="1">
      <c r="A7" s="110"/>
      <c r="B7" s="110"/>
      <c r="C7" s="110"/>
      <c r="D7" s="110"/>
      <c r="E7" s="110"/>
      <c r="F7" s="110"/>
      <c r="G7" s="30" t="s">
        <v>327</v>
      </c>
      <c r="H7" s="30"/>
      <c r="I7" s="110"/>
    </row>
    <row r="8" spans="1:9" ht="15.75" customHeight="1">
      <c r="A8" s="110"/>
      <c r="B8" s="110"/>
      <c r="C8" s="110"/>
      <c r="D8" s="110"/>
      <c r="E8" s="110"/>
      <c r="F8" s="110"/>
      <c r="G8" s="110"/>
      <c r="H8" s="110"/>
      <c r="I8" s="110"/>
    </row>
    <row r="9" spans="1:9" ht="18" customHeight="1">
      <c r="A9" s="110"/>
      <c r="B9" s="110"/>
      <c r="C9" s="110"/>
      <c r="D9" s="110"/>
      <c r="E9" s="110"/>
      <c r="F9" s="110"/>
      <c r="G9" s="110"/>
      <c r="H9" s="110"/>
      <c r="I9" s="110"/>
    </row>
    <row r="10" spans="1:9" ht="12.75" customHeight="1">
      <c r="A10" s="110"/>
      <c r="B10" s="110"/>
      <c r="C10" s="110"/>
      <c r="D10" s="110"/>
      <c r="E10" s="110"/>
      <c r="F10" s="110"/>
      <c r="G10" s="110"/>
      <c r="H10" s="110"/>
      <c r="I10" s="110"/>
    </row>
    <row r="11" spans="1:9" ht="15">
      <c r="A11" s="110"/>
      <c r="B11" s="110"/>
      <c r="C11" s="110"/>
      <c r="D11" s="110"/>
      <c r="E11" s="110"/>
      <c r="F11" s="110"/>
      <c r="G11" s="110"/>
      <c r="H11" s="110"/>
      <c r="I11" s="110"/>
    </row>
    <row r="12" spans="1:9" ht="18">
      <c r="A12" s="542" t="s">
        <v>208</v>
      </c>
      <c r="B12" s="521"/>
      <c r="C12" s="521"/>
      <c r="D12" s="521"/>
      <c r="E12" s="521"/>
      <c r="F12" s="521"/>
      <c r="G12" s="521"/>
      <c r="H12" s="521"/>
      <c r="I12" s="521"/>
    </row>
    <row r="13" spans="1:9" ht="18">
      <c r="A13" s="542" t="s">
        <v>209</v>
      </c>
      <c r="B13" s="521"/>
      <c r="C13" s="521"/>
      <c r="D13" s="521"/>
      <c r="E13" s="521"/>
      <c r="F13" s="521"/>
      <c r="G13" s="521"/>
      <c r="H13" s="521"/>
      <c r="I13" s="521"/>
    </row>
    <row r="14" spans="1:9" ht="18">
      <c r="A14" s="542" t="s">
        <v>305</v>
      </c>
      <c r="B14" s="521"/>
      <c r="C14" s="521"/>
      <c r="D14" s="521"/>
      <c r="E14" s="521"/>
      <c r="F14" s="521"/>
      <c r="G14" s="521"/>
      <c r="H14" s="521"/>
      <c r="I14" s="521"/>
    </row>
    <row r="15" spans="1:9" ht="14.25" thickBot="1">
      <c r="A15" s="21"/>
      <c r="B15" s="21"/>
      <c r="C15" s="21"/>
      <c r="D15" s="21"/>
      <c r="E15" s="21"/>
      <c r="F15" s="21"/>
      <c r="G15" s="21"/>
      <c r="H15" s="21"/>
      <c r="I15" s="177" t="s">
        <v>31</v>
      </c>
    </row>
    <row r="16" spans="1:9" ht="13.5" customHeight="1" thickBot="1">
      <c r="A16" s="609" t="s">
        <v>0</v>
      </c>
      <c r="B16" s="609" t="s">
        <v>127</v>
      </c>
      <c r="C16" s="609" t="s">
        <v>35</v>
      </c>
      <c r="D16" s="613" t="s">
        <v>128</v>
      </c>
      <c r="E16" s="599" t="s">
        <v>175</v>
      </c>
      <c r="F16" s="600"/>
      <c r="G16" s="600"/>
      <c r="H16" s="601"/>
      <c r="I16" s="602"/>
    </row>
    <row r="17" spans="1:9" ht="13.5" customHeight="1" thickBot="1">
      <c r="A17" s="610"/>
      <c r="B17" s="610"/>
      <c r="C17" s="610"/>
      <c r="D17" s="614"/>
      <c r="E17" s="616" t="s">
        <v>296</v>
      </c>
      <c r="F17" s="617"/>
      <c r="G17" s="617"/>
      <c r="H17" s="618"/>
      <c r="I17" s="603" t="s">
        <v>130</v>
      </c>
    </row>
    <row r="18" spans="1:9" ht="14.25" customHeight="1" thickBot="1">
      <c r="A18" s="610"/>
      <c r="B18" s="610"/>
      <c r="C18" s="610"/>
      <c r="D18" s="614"/>
      <c r="E18" s="606" t="s">
        <v>15</v>
      </c>
      <c r="F18" s="607" t="s">
        <v>294</v>
      </c>
      <c r="G18" s="608"/>
      <c r="H18" s="613" t="s">
        <v>293</v>
      </c>
      <c r="I18" s="604"/>
    </row>
    <row r="19" spans="1:9" ht="81.75" customHeight="1" thickBot="1">
      <c r="A19" s="611"/>
      <c r="B19" s="612"/>
      <c r="C19" s="612"/>
      <c r="D19" s="615"/>
      <c r="E19" s="605"/>
      <c r="F19" s="260" t="s">
        <v>177</v>
      </c>
      <c r="G19" s="261" t="s">
        <v>295</v>
      </c>
      <c r="H19" s="615"/>
      <c r="I19" s="605"/>
    </row>
    <row r="20" spans="1:10" ht="13.5" thickBot="1">
      <c r="A20" s="262">
        <v>1</v>
      </c>
      <c r="B20" s="263">
        <v>2</v>
      </c>
      <c r="C20" s="264">
        <v>3</v>
      </c>
      <c r="D20" s="265">
        <v>4</v>
      </c>
      <c r="E20" s="266">
        <v>5</v>
      </c>
      <c r="F20" s="267">
        <v>6</v>
      </c>
      <c r="G20" s="267">
        <v>7</v>
      </c>
      <c r="H20" s="267">
        <v>8</v>
      </c>
      <c r="I20" s="457">
        <v>9</v>
      </c>
      <c r="J20" s="400"/>
    </row>
    <row r="21" spans="1:9" ht="21.75" customHeight="1" thickBot="1" thickTop="1">
      <c r="A21" s="268">
        <v>750</v>
      </c>
      <c r="B21" s="181"/>
      <c r="C21" s="269" t="s">
        <v>55</v>
      </c>
      <c r="D21" s="270">
        <f>D22</f>
        <v>1000</v>
      </c>
      <c r="E21" s="334">
        <f>G21+F21</f>
        <v>1000</v>
      </c>
      <c r="F21" s="270">
        <f>F22</f>
        <v>0</v>
      </c>
      <c r="G21" s="270">
        <f>G22</f>
        <v>1000</v>
      </c>
      <c r="H21" s="270">
        <f>H22</f>
        <v>0</v>
      </c>
      <c r="I21" s="368">
        <v>0</v>
      </c>
    </row>
    <row r="22" spans="1:9" ht="24" customHeight="1" thickBot="1" thickTop="1">
      <c r="A22" s="272"/>
      <c r="B22" s="125">
        <v>75045</v>
      </c>
      <c r="C22" s="273" t="s">
        <v>272</v>
      </c>
      <c r="D22" s="274">
        <f>E22+I22</f>
        <v>1000</v>
      </c>
      <c r="E22" s="366">
        <f>G22+F22</f>
        <v>1000</v>
      </c>
      <c r="F22" s="275">
        <v>0</v>
      </c>
      <c r="G22" s="275">
        <f>1000</f>
        <v>1000</v>
      </c>
      <c r="H22" s="275">
        <v>0</v>
      </c>
      <c r="I22" s="369">
        <v>0</v>
      </c>
    </row>
    <row r="23" spans="1:10" ht="17.25" thickBot="1">
      <c r="A23" s="597" t="s">
        <v>15</v>
      </c>
      <c r="B23" s="598"/>
      <c r="C23" s="598"/>
      <c r="D23" s="276">
        <f aca="true" t="shared" si="0" ref="D23:I23">D21</f>
        <v>1000</v>
      </c>
      <c r="E23" s="367">
        <f t="shared" si="0"/>
        <v>1000</v>
      </c>
      <c r="F23" s="276">
        <f t="shared" si="0"/>
        <v>0</v>
      </c>
      <c r="G23" s="276">
        <f t="shared" si="0"/>
        <v>1000</v>
      </c>
      <c r="H23" s="276">
        <f t="shared" si="0"/>
        <v>0</v>
      </c>
      <c r="I23" s="458">
        <f t="shared" si="0"/>
        <v>0</v>
      </c>
      <c r="J23" s="400"/>
    </row>
  </sheetData>
  <sheetProtection/>
  <mergeCells count="14">
    <mergeCell ref="C16:C19"/>
    <mergeCell ref="D16:D19"/>
    <mergeCell ref="E17:H17"/>
    <mergeCell ref="H18:H19"/>
    <mergeCell ref="A23:C23"/>
    <mergeCell ref="E16:I16"/>
    <mergeCell ref="I17:I19"/>
    <mergeCell ref="E18:E19"/>
    <mergeCell ref="F18:G18"/>
    <mergeCell ref="A12:I12"/>
    <mergeCell ref="A13:I13"/>
    <mergeCell ref="A14:I14"/>
    <mergeCell ref="A16:A19"/>
    <mergeCell ref="B16:B19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2" sqref="F2:F4"/>
    </sheetView>
  </sheetViews>
  <sheetFormatPr defaultColWidth="9.00390625" defaultRowHeight="12.75"/>
  <cols>
    <col min="3" max="3" width="45.75390625" style="0" bestFit="1" customWidth="1"/>
    <col min="4" max="4" width="13.125" style="0" customWidth="1"/>
    <col min="5" max="5" width="10.875" style="0" bestFit="1" customWidth="1"/>
    <col min="6" max="6" width="12.75390625" style="0" customWidth="1"/>
    <col min="7" max="7" width="12.375" style="0" customWidth="1"/>
  </cols>
  <sheetData>
    <row r="1" spans="1:7" ht="15">
      <c r="A1" s="110"/>
      <c r="B1" s="110"/>
      <c r="C1" s="110"/>
      <c r="D1" s="110"/>
      <c r="E1" s="110"/>
      <c r="F1" s="110" t="s">
        <v>210</v>
      </c>
      <c r="G1" s="110"/>
    </row>
    <row r="2" spans="1:7" ht="15">
      <c r="A2" s="110"/>
      <c r="B2" s="110"/>
      <c r="C2" s="110"/>
      <c r="D2" s="110"/>
      <c r="E2" s="110"/>
      <c r="F2" s="29" t="s">
        <v>326</v>
      </c>
      <c r="G2" s="110"/>
    </row>
    <row r="3" spans="1:7" ht="15">
      <c r="A3" s="110"/>
      <c r="B3" s="110"/>
      <c r="C3" s="110"/>
      <c r="D3" s="110"/>
      <c r="E3" s="110"/>
      <c r="F3" s="29" t="s">
        <v>21</v>
      </c>
      <c r="G3" s="110"/>
    </row>
    <row r="4" spans="1:7" ht="15">
      <c r="A4" s="110"/>
      <c r="B4" s="110"/>
      <c r="C4" s="110"/>
      <c r="D4" s="110"/>
      <c r="E4" s="110"/>
      <c r="F4" s="30" t="s">
        <v>327</v>
      </c>
      <c r="G4" s="110"/>
    </row>
    <row r="5" spans="1:7" ht="15">
      <c r="A5" s="110"/>
      <c r="B5" s="110"/>
      <c r="C5" s="110"/>
      <c r="D5" s="110"/>
      <c r="E5" s="110"/>
      <c r="F5" s="110"/>
      <c r="G5" s="110"/>
    </row>
    <row r="6" spans="1:7" ht="12.75" customHeight="1">
      <c r="A6" s="542" t="s">
        <v>306</v>
      </c>
      <c r="B6" s="521"/>
      <c r="C6" s="521"/>
      <c r="D6" s="521"/>
      <c r="E6" s="521"/>
      <c r="F6" s="521"/>
      <c r="G6" s="521"/>
    </row>
    <row r="7" spans="1:7" ht="15.75" customHeight="1">
      <c r="A7" s="542" t="s">
        <v>240</v>
      </c>
      <c r="B7" s="521"/>
      <c r="C7" s="521"/>
      <c r="D7" s="521"/>
      <c r="E7" s="521"/>
      <c r="F7" s="521"/>
      <c r="G7" s="521"/>
    </row>
    <row r="8" spans="1:7" ht="15.75" customHeight="1">
      <c r="A8" s="542" t="s">
        <v>241</v>
      </c>
      <c r="B8" s="521"/>
      <c r="C8" s="521"/>
      <c r="D8" s="521"/>
      <c r="E8" s="521"/>
      <c r="F8" s="521"/>
      <c r="G8" s="521"/>
    </row>
    <row r="9" spans="1:7" ht="18" customHeight="1" thickBot="1">
      <c r="A9" s="21"/>
      <c r="B9" s="21"/>
      <c r="C9" s="21"/>
      <c r="D9" s="21"/>
      <c r="E9" s="21"/>
      <c r="F9" s="21"/>
      <c r="G9" s="177" t="s">
        <v>31</v>
      </c>
    </row>
    <row r="10" spans="1:7" ht="12.75" customHeight="1" thickBot="1">
      <c r="A10" s="622" t="s">
        <v>211</v>
      </c>
      <c r="B10" s="625" t="s">
        <v>212</v>
      </c>
      <c r="C10" s="628" t="s">
        <v>35</v>
      </c>
      <c r="D10" s="630" t="s">
        <v>36</v>
      </c>
      <c r="E10" s="631"/>
      <c r="F10" s="631"/>
      <c r="G10" s="632"/>
    </row>
    <row r="11" spans="1:7" ht="17.25" thickBot="1">
      <c r="A11" s="623"/>
      <c r="B11" s="626"/>
      <c r="C11" s="623"/>
      <c r="D11" s="633" t="s">
        <v>213</v>
      </c>
      <c r="E11" s="634"/>
      <c r="F11" s="634"/>
      <c r="G11" s="635"/>
    </row>
    <row r="12" spans="1:7" ht="13.5" customHeight="1" thickBot="1">
      <c r="A12" s="623"/>
      <c r="B12" s="626"/>
      <c r="C12" s="623"/>
      <c r="D12" s="628" t="s">
        <v>214</v>
      </c>
      <c r="E12" s="630" t="s">
        <v>215</v>
      </c>
      <c r="F12" s="631"/>
      <c r="G12" s="632"/>
    </row>
    <row r="13" spans="1:7" ht="66.75" thickBot="1">
      <c r="A13" s="624"/>
      <c r="B13" s="627"/>
      <c r="C13" s="629"/>
      <c r="D13" s="624"/>
      <c r="E13" s="277" t="s">
        <v>4</v>
      </c>
      <c r="F13" s="277" t="s">
        <v>131</v>
      </c>
      <c r="G13" s="278" t="s">
        <v>216</v>
      </c>
    </row>
    <row r="14" spans="1:7" ht="15.75" thickBot="1">
      <c r="A14" s="279">
        <v>1</v>
      </c>
      <c r="B14" s="280">
        <v>2</v>
      </c>
      <c r="C14" s="112">
        <v>3</v>
      </c>
      <c r="D14" s="58">
        <v>4</v>
      </c>
      <c r="E14" s="58">
        <v>5</v>
      </c>
      <c r="F14" s="58">
        <v>6</v>
      </c>
      <c r="G14" s="281">
        <v>7</v>
      </c>
    </row>
    <row r="15" spans="1:7" ht="19.5" customHeight="1" thickBot="1" thickTop="1">
      <c r="A15" s="282" t="s">
        <v>218</v>
      </c>
      <c r="B15" s="283"/>
      <c r="C15" s="284" t="s">
        <v>96</v>
      </c>
      <c r="D15" s="270">
        <f>D16</f>
        <v>629400</v>
      </c>
      <c r="E15" s="270">
        <f>E16</f>
        <v>629400</v>
      </c>
      <c r="F15" s="270">
        <f>F16</f>
        <v>629400</v>
      </c>
      <c r="G15" s="271">
        <v>0</v>
      </c>
    </row>
    <row r="16" spans="1:7" ht="22.5" customHeight="1" thickBot="1" thickTop="1">
      <c r="A16" s="285"/>
      <c r="B16" s="286" t="s">
        <v>219</v>
      </c>
      <c r="C16" s="287" t="s">
        <v>220</v>
      </c>
      <c r="D16" s="288">
        <f>E16</f>
        <v>629400</v>
      </c>
      <c r="E16" s="288">
        <f>F16+G16</f>
        <v>629400</v>
      </c>
      <c r="F16" s="288">
        <v>629400</v>
      </c>
      <c r="G16" s="289">
        <v>0</v>
      </c>
    </row>
    <row r="17" spans="1:7" ht="33.75" customHeight="1" thickBot="1" thickTop="1">
      <c r="A17" s="294">
        <v>921</v>
      </c>
      <c r="B17" s="295"/>
      <c r="C17" s="296" t="s">
        <v>25</v>
      </c>
      <c r="D17" s="270">
        <f>E17</f>
        <v>26000</v>
      </c>
      <c r="E17" s="270">
        <f>F17</f>
        <v>26000</v>
      </c>
      <c r="F17" s="270">
        <f>F18</f>
        <v>26000</v>
      </c>
      <c r="G17" s="271">
        <v>0</v>
      </c>
    </row>
    <row r="18" spans="1:7" ht="21.75" customHeight="1" thickTop="1">
      <c r="A18" s="297"/>
      <c r="B18" s="298">
        <v>92116</v>
      </c>
      <c r="C18" s="299" t="s">
        <v>172</v>
      </c>
      <c r="D18" s="288">
        <f>E18</f>
        <v>26000</v>
      </c>
      <c r="E18" s="288">
        <f>F18</f>
        <v>26000</v>
      </c>
      <c r="F18" s="288">
        <f>SUM(F19)</f>
        <v>26000</v>
      </c>
      <c r="G18" s="289">
        <v>0</v>
      </c>
    </row>
    <row r="19" spans="1:7" ht="20.25" customHeight="1" thickBot="1">
      <c r="A19" s="290"/>
      <c r="B19" s="300"/>
      <c r="C19" s="291" t="s">
        <v>247</v>
      </c>
      <c r="D19" s="292">
        <f>E19</f>
        <v>26000</v>
      </c>
      <c r="E19" s="292">
        <f>F19</f>
        <v>26000</v>
      </c>
      <c r="F19" s="292">
        <v>26000</v>
      </c>
      <c r="G19" s="293">
        <v>0</v>
      </c>
    </row>
    <row r="20" spans="1:7" ht="17.25" thickBot="1">
      <c r="A20" s="619" t="s">
        <v>15</v>
      </c>
      <c r="B20" s="620"/>
      <c r="C20" s="621"/>
      <c r="D20" s="301">
        <f>D15+D17</f>
        <v>655400</v>
      </c>
      <c r="E20" s="276">
        <f>E15+E17</f>
        <v>655400</v>
      </c>
      <c r="F20" s="276">
        <f>F15+F17</f>
        <v>655400</v>
      </c>
      <c r="G20" s="302">
        <f>G15</f>
        <v>0</v>
      </c>
    </row>
  </sheetData>
  <sheetProtection/>
  <mergeCells count="11">
    <mergeCell ref="E12:G12"/>
    <mergeCell ref="A20:C20"/>
    <mergeCell ref="A6:G6"/>
    <mergeCell ref="A7:G7"/>
    <mergeCell ref="A8:G8"/>
    <mergeCell ref="A10:A13"/>
    <mergeCell ref="B10:B13"/>
    <mergeCell ref="C10:C13"/>
    <mergeCell ref="D10:G10"/>
    <mergeCell ref="D11:G11"/>
    <mergeCell ref="D12:D13"/>
  </mergeCells>
  <printOptions horizontalCentered="1"/>
  <pageMargins left="0.7874015748031497" right="0.7874015748031497" top="0.55" bottom="0.7874015748031497" header="1.11" footer="0.5118110236220472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E2" sqref="E2:E4"/>
    </sheetView>
  </sheetViews>
  <sheetFormatPr defaultColWidth="9.00390625" defaultRowHeight="12.75"/>
  <cols>
    <col min="2" max="2" width="10.375" style="0" customWidth="1"/>
    <col min="4" max="4" width="62.75390625" style="0" customWidth="1"/>
    <col min="7" max="7" width="6.25390625" style="0" customWidth="1"/>
  </cols>
  <sheetData>
    <row r="1" spans="1:6" ht="15">
      <c r="A1" s="110"/>
      <c r="B1" s="110"/>
      <c r="C1" s="110"/>
      <c r="D1" s="110"/>
      <c r="E1" s="110" t="s">
        <v>298</v>
      </c>
      <c r="F1" s="110"/>
    </row>
    <row r="2" spans="1:6" ht="15">
      <c r="A2" s="110"/>
      <c r="B2" s="110"/>
      <c r="C2" s="110"/>
      <c r="D2" s="110"/>
      <c r="E2" s="29" t="s">
        <v>326</v>
      </c>
      <c r="F2" s="110"/>
    </row>
    <row r="3" spans="1:6" ht="15">
      <c r="A3" s="110"/>
      <c r="B3" s="110"/>
      <c r="C3" s="110"/>
      <c r="D3" s="110"/>
      <c r="E3" s="29" t="s">
        <v>21</v>
      </c>
      <c r="F3" s="110"/>
    </row>
    <row r="4" spans="1:6" ht="15">
      <c r="A4" s="110"/>
      <c r="B4" s="110"/>
      <c r="C4" s="110"/>
      <c r="D4" s="110"/>
      <c r="E4" s="30" t="s">
        <v>327</v>
      </c>
      <c r="F4" s="110"/>
    </row>
    <row r="5" spans="1:6" ht="15">
      <c r="A5" s="110"/>
      <c r="B5" s="110"/>
      <c r="C5" s="110"/>
      <c r="D5" s="110"/>
      <c r="E5" s="110"/>
      <c r="F5" s="110"/>
    </row>
    <row r="6" spans="1:6" ht="20.25" customHeight="1">
      <c r="A6" s="648" t="s">
        <v>307</v>
      </c>
      <c r="B6" s="649"/>
      <c r="C6" s="649"/>
      <c r="D6" s="649"/>
      <c r="E6" s="649"/>
      <c r="F6" s="649"/>
    </row>
    <row r="7" spans="1:6" ht="21.75" customHeight="1">
      <c r="A7" s="648" t="s">
        <v>325</v>
      </c>
      <c r="B7" s="649"/>
      <c r="C7" s="649"/>
      <c r="D7" s="649"/>
      <c r="E7" s="649"/>
      <c r="F7" s="649"/>
    </row>
    <row r="8" spans="1:6" ht="15.75" customHeight="1" thickBot="1">
      <c r="A8" s="26"/>
      <c r="B8" s="26"/>
      <c r="C8" s="26"/>
      <c r="D8" s="26"/>
      <c r="E8" s="26"/>
      <c r="F8" s="26"/>
    </row>
    <row r="9" spans="1:6" ht="21" customHeight="1" thickBot="1">
      <c r="A9" s="304" t="s">
        <v>211</v>
      </c>
      <c r="B9" s="305" t="s">
        <v>212</v>
      </c>
      <c r="C9" s="305" t="s">
        <v>34</v>
      </c>
      <c r="D9" s="305" t="s">
        <v>35</v>
      </c>
      <c r="E9" s="650" t="s">
        <v>222</v>
      </c>
      <c r="F9" s="651"/>
    </row>
    <row r="10" spans="1:6" ht="21" customHeight="1">
      <c r="A10" s="318">
        <v>750</v>
      </c>
      <c r="B10" s="319"/>
      <c r="C10" s="319"/>
      <c r="D10" s="474" t="s">
        <v>55</v>
      </c>
      <c r="E10" s="654">
        <f>SUM(E11)</f>
        <v>20000</v>
      </c>
      <c r="F10" s="655"/>
    </row>
    <row r="11" spans="1:6" ht="18">
      <c r="A11" s="308"/>
      <c r="B11" s="309">
        <v>75095</v>
      </c>
      <c r="C11" s="309"/>
      <c r="D11" s="310" t="s">
        <v>140</v>
      </c>
      <c r="E11" s="644">
        <f>SUM(E12)</f>
        <v>20000</v>
      </c>
      <c r="F11" s="645"/>
    </row>
    <row r="12" spans="1:6" ht="30">
      <c r="A12" s="121"/>
      <c r="B12" s="122"/>
      <c r="C12" s="122">
        <v>2820</v>
      </c>
      <c r="D12" s="312" t="s">
        <v>324</v>
      </c>
      <c r="E12" s="640">
        <v>20000</v>
      </c>
      <c r="F12" s="641"/>
    </row>
    <row r="13" spans="1:6" ht="18">
      <c r="A13" s="479">
        <v>801</v>
      </c>
      <c r="B13" s="306"/>
      <c r="C13" s="306"/>
      <c r="D13" s="307" t="s">
        <v>223</v>
      </c>
      <c r="E13" s="652">
        <f>E14+E21+E24</f>
        <v>1945362</v>
      </c>
      <c r="F13" s="653"/>
    </row>
    <row r="14" spans="1:6" ht="18">
      <c r="A14" s="472"/>
      <c r="B14" s="309">
        <v>80120</v>
      </c>
      <c r="C14" s="309"/>
      <c r="D14" s="310" t="s">
        <v>85</v>
      </c>
      <c r="E14" s="644">
        <f>E15+E17+E19</f>
        <v>84456</v>
      </c>
      <c r="F14" s="645"/>
    </row>
    <row r="15" spans="1:6" ht="15">
      <c r="A15" s="472"/>
      <c r="B15" s="157"/>
      <c r="C15" s="157"/>
      <c r="D15" s="311" t="s">
        <v>224</v>
      </c>
      <c r="E15" s="646">
        <v>46080</v>
      </c>
      <c r="F15" s="647"/>
    </row>
    <row r="16" spans="1:6" ht="30">
      <c r="A16" s="472"/>
      <c r="B16" s="122"/>
      <c r="C16" s="122">
        <v>2540</v>
      </c>
      <c r="D16" s="312" t="s">
        <v>225</v>
      </c>
      <c r="E16" s="640">
        <f>SUM(E15)</f>
        <v>46080</v>
      </c>
      <c r="F16" s="641"/>
    </row>
    <row r="17" spans="1:6" ht="30">
      <c r="A17" s="473"/>
      <c r="B17" s="157"/>
      <c r="C17" s="157"/>
      <c r="D17" s="311" t="s">
        <v>226</v>
      </c>
      <c r="E17" s="638">
        <v>9360</v>
      </c>
      <c r="F17" s="639"/>
    </row>
    <row r="18" spans="1:6" ht="41.25" customHeight="1">
      <c r="A18" s="472"/>
      <c r="B18" s="122"/>
      <c r="C18" s="122">
        <v>2540</v>
      </c>
      <c r="D18" s="312" t="s">
        <v>225</v>
      </c>
      <c r="E18" s="636">
        <f>SUM(E17)</f>
        <v>9360</v>
      </c>
      <c r="F18" s="637"/>
    </row>
    <row r="19" spans="1:6" ht="15">
      <c r="A19" s="472"/>
      <c r="B19" s="157"/>
      <c r="C19" s="157"/>
      <c r="D19" s="311" t="s">
        <v>243</v>
      </c>
      <c r="E19" s="638">
        <v>29016</v>
      </c>
      <c r="F19" s="639"/>
    </row>
    <row r="20" spans="1:6" ht="30">
      <c r="A20" s="473"/>
      <c r="B20" s="122"/>
      <c r="C20" s="122">
        <v>2540</v>
      </c>
      <c r="D20" s="312" t="s">
        <v>225</v>
      </c>
      <c r="E20" s="636">
        <f>SUM(E19)</f>
        <v>29016</v>
      </c>
      <c r="F20" s="637"/>
    </row>
    <row r="21" spans="1:6" ht="18">
      <c r="A21" s="472"/>
      <c r="B21" s="309">
        <v>80130</v>
      </c>
      <c r="C21" s="309"/>
      <c r="D21" s="313" t="s">
        <v>87</v>
      </c>
      <c r="E21" s="644">
        <f>E22</f>
        <v>10656</v>
      </c>
      <c r="F21" s="645"/>
    </row>
    <row r="22" spans="1:6" ht="30">
      <c r="A22" s="124"/>
      <c r="B22" s="157"/>
      <c r="C22" s="157"/>
      <c r="D22" s="314" t="s">
        <v>227</v>
      </c>
      <c r="E22" s="646">
        <v>10656</v>
      </c>
      <c r="F22" s="647"/>
    </row>
    <row r="23" spans="1:6" ht="30">
      <c r="A23" s="124"/>
      <c r="B23" s="122"/>
      <c r="C23" s="122">
        <v>2540</v>
      </c>
      <c r="D23" s="312" t="s">
        <v>225</v>
      </c>
      <c r="E23" s="640">
        <f>SUM(E22)</f>
        <v>10656</v>
      </c>
      <c r="F23" s="641"/>
    </row>
    <row r="24" spans="1:6" ht="18">
      <c r="A24" s="124"/>
      <c r="B24" s="309">
        <v>80144</v>
      </c>
      <c r="C24" s="309"/>
      <c r="D24" s="313" t="s">
        <v>185</v>
      </c>
      <c r="E24" s="644">
        <f>E25</f>
        <v>1850250</v>
      </c>
      <c r="F24" s="645"/>
    </row>
    <row r="25" spans="1:6" ht="30">
      <c r="A25" s="124"/>
      <c r="B25" s="157"/>
      <c r="C25" s="157"/>
      <c r="D25" s="314" t="s">
        <v>228</v>
      </c>
      <c r="E25" s="646">
        <v>1850250</v>
      </c>
      <c r="F25" s="647"/>
    </row>
    <row r="26" spans="1:6" ht="30">
      <c r="A26" s="124"/>
      <c r="B26" s="122"/>
      <c r="C26" s="122">
        <v>2540</v>
      </c>
      <c r="D26" s="312" t="s">
        <v>225</v>
      </c>
      <c r="E26" s="640">
        <f>SUM(E25)</f>
        <v>1850250</v>
      </c>
      <c r="F26" s="641"/>
    </row>
    <row r="27" spans="1:6" ht="36">
      <c r="A27" s="478">
        <v>853</v>
      </c>
      <c r="B27" s="306"/>
      <c r="C27" s="306"/>
      <c r="D27" s="471" t="s">
        <v>18</v>
      </c>
      <c r="E27" s="652">
        <f>SUM(E28)</f>
        <v>57540</v>
      </c>
      <c r="F27" s="653"/>
    </row>
    <row r="28" spans="1:6" ht="18">
      <c r="A28" s="124"/>
      <c r="B28" s="309">
        <v>85311</v>
      </c>
      <c r="C28" s="309"/>
      <c r="D28" s="310" t="s">
        <v>167</v>
      </c>
      <c r="E28" s="644">
        <f>SUM(E29)</f>
        <v>57540</v>
      </c>
      <c r="F28" s="645"/>
    </row>
    <row r="29" spans="1:6" ht="30.75" thickBot="1">
      <c r="A29" s="475"/>
      <c r="B29" s="476"/>
      <c r="C29" s="476">
        <v>2580</v>
      </c>
      <c r="D29" s="477" t="s">
        <v>323</v>
      </c>
      <c r="E29" s="656">
        <v>57540</v>
      </c>
      <c r="F29" s="657"/>
    </row>
    <row r="30" spans="1:6" ht="18.75" thickBot="1">
      <c r="A30" s="658" t="s">
        <v>15</v>
      </c>
      <c r="B30" s="659"/>
      <c r="C30" s="659"/>
      <c r="D30" s="470"/>
      <c r="E30" s="642">
        <f>SUM(E10+E14+E21+E24+E27)</f>
        <v>2022902</v>
      </c>
      <c r="F30" s="643"/>
    </row>
  </sheetData>
  <sheetProtection/>
  <mergeCells count="25">
    <mergeCell ref="E29:F29"/>
    <mergeCell ref="A30:C30"/>
    <mergeCell ref="E24:F24"/>
    <mergeCell ref="E25:F25"/>
    <mergeCell ref="E16:F16"/>
    <mergeCell ref="E17:F17"/>
    <mergeCell ref="A6:F6"/>
    <mergeCell ref="A7:F7"/>
    <mergeCell ref="E9:F9"/>
    <mergeCell ref="E13:F13"/>
    <mergeCell ref="E14:F14"/>
    <mergeCell ref="E15:F15"/>
    <mergeCell ref="E10:F10"/>
    <mergeCell ref="E11:F11"/>
    <mergeCell ref="E12:F12"/>
    <mergeCell ref="E18:F18"/>
    <mergeCell ref="E19:F19"/>
    <mergeCell ref="E26:F26"/>
    <mergeCell ref="E30:F30"/>
    <mergeCell ref="E20:F20"/>
    <mergeCell ref="E21:F21"/>
    <mergeCell ref="E22:F22"/>
    <mergeCell ref="E23:F23"/>
    <mergeCell ref="E27:F27"/>
    <mergeCell ref="E28:F28"/>
  </mergeCells>
  <printOptions horizontalCentered="1" verticalCentered="1"/>
  <pageMargins left="0.7874015748031497" right="0.7874015748031497" top="0.5511811023622047" bottom="0.7874015748031497" header="1.1023622047244095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PYRZYCE</dc:creator>
  <cp:keywords/>
  <dc:description/>
  <cp:lastModifiedBy>Microsoft</cp:lastModifiedBy>
  <cp:lastPrinted>2011-12-29T13:09:44Z</cp:lastPrinted>
  <dcterms:created xsi:type="dcterms:W3CDTF">2003-09-30T05:16:40Z</dcterms:created>
  <dcterms:modified xsi:type="dcterms:W3CDTF">2012-01-23T07:42:10Z</dcterms:modified>
  <cp:category/>
  <cp:version/>
  <cp:contentType/>
  <cp:contentStatus/>
</cp:coreProperties>
</file>